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DieseArbeitsmappe"/>
  <mc:AlternateContent xmlns:mc="http://schemas.openxmlformats.org/markup-compatibility/2006">
    <mc:Choice Requires="x15">
      <x15ac:absPath xmlns:x15ac="http://schemas.microsoft.com/office/spreadsheetml/2010/11/ac" url="Z:\03 Standards\03_PRD Produkte\03_PRD_STR Strategie\03_PRD_STR_COV Covid-19\03_PRD_STR_COV_01 Szenario-Rechner\online\"/>
    </mc:Choice>
  </mc:AlternateContent>
  <xr:revisionPtr revIDLastSave="0" documentId="8_{D96D4642-5279-4C4F-9DB4-B42AA53FD9E5}" xr6:coauthVersionLast="46" xr6:coauthVersionMax="46" xr10:uidLastSave="{00000000-0000-0000-0000-000000000000}"/>
  <workbookProtection workbookPassword="8C78" lockStructure="1"/>
  <bookViews>
    <workbookView xWindow="28680" yWindow="-180" windowWidth="29040" windowHeight="15840" tabRatio="755" activeTab="3" xr2:uid="{00000000-000D-0000-FFFF-FFFF00000000}"/>
  </bookViews>
  <sheets>
    <sheet name="Beschreibung &amp; Aktualisierung" sheetId="10" r:id="rId1"/>
    <sheet name="Erkrankungs- und Strukturdaten" sheetId="9" r:id="rId2"/>
    <sheet name="Prognoseparameter" sheetId="17" r:id="rId3"/>
    <sheet name="Fallzahlen (Berechnung)" sheetId="14" r:id="rId4"/>
    <sheet name="Prognoseergebnis" sheetId="8" r:id="rId5"/>
    <sheet name="Grafische Darstellung" sheetId="15" r:id="rId6"/>
    <sheet name="Information zu den Updates" sheetId="18" r:id="rId7"/>
    <sheet name="Stammdaten" sheetId="19" state="hidden" r:id="rId8"/>
  </sheets>
  <definedNames>
    <definedName name="_Ausgangswert">Prognoseparameter!$C$11</definedName>
    <definedName name="_AusgangswertKURZ">Prognoseparameter!$U$11</definedName>
    <definedName name="_Bundesweit">Stammdaten!$F$12</definedName>
    <definedName name="_bundesweite">Stammdaten!$F$13</definedName>
    <definedName name="_bundesweiten">Stammdaten!$F$14</definedName>
    <definedName name="_Datum">Prognoseparameter!$C$9</definedName>
    <definedName name="_DynWR">Stammdaten!$B$7</definedName>
    <definedName name="_Krankenhaus">Stammdaten!$F$9</definedName>
    <definedName name="_Krankenhäuser">Stammdaten!$F$10</definedName>
    <definedName name="_Krankenhäusern">Stammdaten!$F$11</definedName>
    <definedName name="_Methodik">Prognoseparameter!$U$18</definedName>
    <definedName name="_StabWR">Stammdaten!$B$8</definedName>
    <definedName name="_Wachstumsrate">Prognoseparameter!$C$15</definedName>
    <definedName name="_WachstumsrateKURZ">Prognoseparameter!$U$15</definedName>
    <definedName name="_WR">'Fallzahlen (Berechnung)'!$B$29</definedName>
    <definedName name="_xlnm.Print_Area" localSheetId="0">'Beschreibung &amp; Aktualisierung'!$A$4:$G$42</definedName>
    <definedName name="_xlnm.Print_Area" localSheetId="1">'Erkrankungs- und Strukturdaten'!$A$1:$D$30</definedName>
    <definedName name="_xlnm.Print_Area" localSheetId="5">'Grafische Darstellung'!$A$1:$AM$107</definedName>
    <definedName name="_xlnm.Print_Area" localSheetId="6">'Information zu den Updates'!$A$4:$G$138</definedName>
    <definedName name="_xlnm.Print_Area" localSheetId="4">Prognoseergebnis!$A$1:$T$136</definedName>
    <definedName name="_xlnm.Print_Area" localSheetId="2">Prognoseparameter!$A$1:$T$17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9" l="1"/>
  <c r="F3" i="14" s="1"/>
  <c r="T16" i="17"/>
  <c r="U18" i="17"/>
  <c r="C9" i="9" l="1"/>
  <c r="C10" i="9" s="1"/>
  <c r="C11" i="9" s="1"/>
  <c r="B17" i="14" l="1"/>
  <c r="A28" i="14" l="1"/>
  <c r="E12" i="18" l="1"/>
  <c r="E11" i="18"/>
  <c r="I4" i="14" l="1"/>
  <c r="I5" i="14" s="1"/>
  <c r="I6" i="14" s="1"/>
  <c r="I7" i="14" s="1"/>
  <c r="I8" i="14" s="1"/>
  <c r="I9" i="14" s="1"/>
  <c r="I10" i="14" s="1"/>
  <c r="I11" i="14" s="1"/>
  <c r="I12" i="14" s="1"/>
  <c r="I13" i="14" s="1"/>
  <c r="I14" i="14" s="1"/>
  <c r="I15" i="14" s="1"/>
  <c r="I16" i="14" s="1"/>
  <c r="I17" i="14" s="1"/>
  <c r="I18" i="14" s="1"/>
  <c r="I19" i="14" s="1"/>
  <c r="I20" i="14" s="1"/>
  <c r="I21" i="14" s="1"/>
  <c r="I22" i="14" s="1"/>
  <c r="I23" i="14" s="1"/>
  <c r="I24" i="14" s="1"/>
  <c r="I25" i="14" s="1"/>
  <c r="I26" i="14" s="1"/>
  <c r="I27" i="14" s="1"/>
  <c r="I28" i="14" s="1"/>
  <c r="I29" i="14" s="1"/>
  <c r="I30" i="14" s="1"/>
  <c r="I31" i="14" s="1"/>
  <c r="I32" i="14" s="1"/>
  <c r="I33" i="14" s="1"/>
  <c r="I34" i="14" s="1"/>
  <c r="I35" i="14" s="1"/>
  <c r="I36" i="14" s="1"/>
  <c r="I37" i="14" s="1"/>
  <c r="I38" i="14" s="1"/>
  <c r="I39" i="14" s="1"/>
  <c r="I40" i="14" s="1"/>
  <c r="I41" i="14" s="1"/>
  <c r="I42" i="14" s="1"/>
  <c r="I43" i="14" s="1"/>
  <c r="I44" i="14" s="1"/>
  <c r="I45" i="14" s="1"/>
  <c r="I46" i="14" s="1"/>
  <c r="I47" i="14" s="1"/>
  <c r="I48" i="14" s="1"/>
  <c r="I49" i="14" s="1"/>
  <c r="I50" i="14" s="1"/>
  <c r="I51" i="14" s="1"/>
  <c r="I52" i="14" s="1"/>
  <c r="I53" i="14" s="1"/>
  <c r="I54" i="14" s="1"/>
  <c r="I55" i="14" s="1"/>
  <c r="I56" i="14" s="1"/>
  <c r="I57" i="14" s="1"/>
  <c r="I58" i="14" s="1"/>
  <c r="I59" i="14" s="1"/>
  <c r="I60" i="14" s="1"/>
  <c r="I61" i="14" s="1"/>
  <c r="I62" i="14" s="1"/>
  <c r="I63" i="14" s="1"/>
  <c r="I64" i="14" s="1"/>
  <c r="I65" i="14" s="1"/>
  <c r="I66" i="14" s="1"/>
  <c r="I67" i="14" s="1"/>
  <c r="I68" i="14" s="1"/>
  <c r="I69" i="14" s="1"/>
  <c r="I70" i="14" s="1"/>
  <c r="I71" i="14" s="1"/>
  <c r="I72" i="14" s="1"/>
  <c r="I73" i="14" s="1"/>
  <c r="I74" i="14" s="1"/>
  <c r="I75" i="14" s="1"/>
  <c r="I76" i="14" s="1"/>
  <c r="I77" i="14" s="1"/>
  <c r="I78" i="14" s="1"/>
  <c r="I79" i="14" s="1"/>
  <c r="I80" i="14" s="1"/>
  <c r="I81" i="14" s="1"/>
  <c r="I82" i="14" s="1"/>
  <c r="I83" i="14" s="1"/>
  <c r="I84" i="14" s="1"/>
  <c r="I85" i="14" s="1"/>
  <c r="I86" i="14" s="1"/>
  <c r="I87" i="14" s="1"/>
  <c r="I88" i="14" s="1"/>
  <c r="I89" i="14" s="1"/>
  <c r="I90" i="14" s="1"/>
  <c r="I91" i="14" s="1"/>
  <c r="I92" i="14" s="1"/>
  <c r="I93" i="14" s="1"/>
  <c r="I94" i="14" s="1"/>
  <c r="I95" i="14" s="1"/>
  <c r="I96" i="14" s="1"/>
  <c r="I97" i="14" s="1"/>
  <c r="U16" i="17"/>
  <c r="A27" i="14" s="1"/>
  <c r="H4" i="14"/>
  <c r="H5" i="14" s="1"/>
  <c r="B18" i="14" l="1"/>
  <c r="K97" i="19" l="1"/>
  <c r="K96" i="19"/>
  <c r="M2" i="14"/>
  <c r="I98" i="14" l="1"/>
  <c r="I99" i="14" l="1"/>
  <c r="I100" i="14" s="1"/>
  <c r="I101" i="14" s="1"/>
  <c r="I102" i="14" s="1"/>
  <c r="I103" i="14" s="1"/>
  <c r="I104" i="14" s="1"/>
  <c r="I105" i="14" s="1"/>
  <c r="I106" i="14" s="1"/>
  <c r="I107" i="14" s="1"/>
  <c r="I108" i="14" s="1"/>
  <c r="I109" i="14" s="1"/>
  <c r="I110" i="14" s="1"/>
  <c r="I111" i="14" s="1"/>
  <c r="I112" i="14" s="1"/>
  <c r="I113" i="14" s="1"/>
  <c r="I114" i="14" s="1"/>
  <c r="I115" i="14" s="1"/>
  <c r="I116" i="14" s="1"/>
  <c r="I117" i="14" s="1"/>
  <c r="I118" i="14" s="1"/>
  <c r="I119" i="14" s="1"/>
  <c r="I120" i="14" s="1"/>
  <c r="I121" i="14" s="1"/>
  <c r="I122" i="14" s="1"/>
  <c r="I123" i="14" s="1"/>
  <c r="I124" i="14" s="1"/>
  <c r="I125" i="14" s="1"/>
  <c r="I126" i="14" s="1"/>
  <c r="I127" i="14" s="1"/>
  <c r="I128" i="14" s="1"/>
  <c r="I129" i="14" s="1"/>
  <c r="I130" i="14" s="1"/>
  <c r="I131" i="14" s="1"/>
  <c r="I132" i="14" s="1"/>
  <c r="I133" i="14" s="1"/>
  <c r="I134" i="14" s="1"/>
  <c r="I135" i="14" s="1"/>
  <c r="I136" i="14" s="1"/>
  <c r="I137" i="14" s="1"/>
  <c r="I138" i="14" s="1"/>
  <c r="I139" i="14" s="1"/>
  <c r="I140" i="14" s="1"/>
  <c r="I141" i="14" s="1"/>
  <c r="I142" i="14" s="1"/>
  <c r="I143" i="14" s="1"/>
  <c r="I144" i="14" s="1"/>
  <c r="I145" i="14" s="1"/>
  <c r="I146" i="14" s="1"/>
  <c r="I147" i="14" s="1"/>
  <c r="I148" i="14" s="1"/>
  <c r="I149" i="14" s="1"/>
  <c r="I150" i="14" s="1"/>
  <c r="I151" i="14" s="1"/>
  <c r="I152" i="14" s="1"/>
  <c r="I153" i="14" s="1"/>
  <c r="I154" i="14" s="1"/>
  <c r="I155" i="14" s="1"/>
  <c r="I156" i="14" s="1"/>
  <c r="I157" i="14" s="1"/>
  <c r="I158" i="14" s="1"/>
  <c r="I159" i="14" s="1"/>
  <c r="I160" i="14" s="1"/>
  <c r="I161" i="14" s="1"/>
  <c r="I162" i="14" s="1"/>
  <c r="I163" i="14" s="1"/>
  <c r="I164" i="14" s="1"/>
  <c r="I165" i="14" s="1"/>
  <c r="I166" i="14" s="1"/>
  <c r="I167" i="14" s="1"/>
  <c r="I168" i="14" s="1"/>
  <c r="I169" i="14" s="1"/>
  <c r="I170" i="14" s="1"/>
  <c r="I171" i="14" s="1"/>
  <c r="I172" i="14" s="1"/>
  <c r="I173" i="14" s="1"/>
  <c r="I174" i="14" s="1"/>
  <c r="I175" i="14" s="1"/>
  <c r="I176" i="14" s="1"/>
  <c r="I177" i="14" s="1"/>
  <c r="I178" i="14" s="1"/>
  <c r="I179" i="14" s="1"/>
  <c r="I180" i="14" s="1"/>
  <c r="I181" i="14" s="1"/>
  <c r="I182" i="14" s="1"/>
  <c r="I183" i="14" s="1"/>
  <c r="I184" i="14" s="1"/>
  <c r="I185" i="14" s="1"/>
  <c r="I186" i="14" s="1"/>
  <c r="I187" i="14" s="1"/>
  <c r="I188" i="14" s="1"/>
  <c r="I189" i="14" s="1"/>
  <c r="I190" i="14" s="1"/>
  <c r="I191" i="14" s="1"/>
  <c r="I192" i="14" s="1"/>
  <c r="I193" i="14" s="1"/>
  <c r="I194" i="14" s="1"/>
  <c r="I195" i="14" s="1"/>
  <c r="I196" i="14" s="1"/>
  <c r="I197" i="14" s="1"/>
  <c r="I198" i="14" s="1"/>
  <c r="I199" i="14" s="1"/>
  <c r="I200" i="14" s="1"/>
  <c r="I201" i="14" s="1"/>
  <c r="I202" i="14" s="1"/>
  <c r="I203" i="14" s="1"/>
  <c r="I204" i="14" s="1"/>
  <c r="I205" i="14" s="1"/>
  <c r="I206" i="14" s="1"/>
  <c r="I207" i="14" s="1"/>
  <c r="I208" i="14" s="1"/>
  <c r="I209" i="14" s="1"/>
  <c r="I210" i="14" s="1"/>
  <c r="I211" i="14" s="1"/>
  <c r="I212" i="14" s="1"/>
  <c r="I213" i="14" s="1"/>
  <c r="I214" i="14" s="1"/>
  <c r="I215" i="14" s="1"/>
  <c r="I216" i="14" s="1"/>
  <c r="I217" i="14" s="1"/>
  <c r="I218" i="14" s="1"/>
  <c r="I219" i="14" s="1"/>
  <c r="I220" i="14" s="1"/>
  <c r="I221" i="14" s="1"/>
  <c r="I222" i="14" s="1"/>
  <c r="I223" i="14" s="1"/>
  <c r="I224" i="14" s="1"/>
  <c r="I225" i="14" s="1"/>
  <c r="I226" i="14" s="1"/>
  <c r="I227" i="14" s="1"/>
  <c r="I228" i="14" s="1"/>
  <c r="I229" i="14" s="1"/>
  <c r="I230" i="14" s="1"/>
  <c r="I231" i="14" s="1"/>
  <c r="I232" i="14" s="1"/>
  <c r="I233" i="14" s="1"/>
  <c r="I234" i="14" s="1"/>
  <c r="I235" i="14" s="1"/>
  <c r="I236" i="14" s="1"/>
  <c r="I237" i="14" s="1"/>
  <c r="I238" i="14" s="1"/>
  <c r="I239" i="14" s="1"/>
  <c r="I240" i="14" s="1"/>
  <c r="I241" i="14" s="1"/>
  <c r="I242" i="14" s="1"/>
  <c r="I243" i="14" s="1"/>
  <c r="I244" i="14" s="1"/>
  <c r="I245" i="14" s="1"/>
  <c r="I246" i="14" s="1"/>
  <c r="I247" i="14" s="1"/>
  <c r="I248" i="14" s="1"/>
  <c r="I249" i="14" s="1"/>
  <c r="I250" i="14" s="1"/>
  <c r="I251" i="14" s="1"/>
  <c r="I252" i="14" s="1"/>
  <c r="I253" i="14" s="1"/>
  <c r="I254" i="14" s="1"/>
  <c r="I255" i="14" s="1"/>
  <c r="I256" i="14" s="1"/>
  <c r="I257" i="14" s="1"/>
  <c r="I258" i="14" s="1"/>
  <c r="I259" i="14" s="1"/>
  <c r="A42" i="14"/>
  <c r="A43" i="14" s="1"/>
  <c r="A44" i="14" s="1"/>
  <c r="A45" i="14" s="1"/>
  <c r="A46" i="14" s="1"/>
  <c r="A47" i="14" s="1"/>
  <c r="A48" i="14" s="1"/>
  <c r="A51" i="14" l="1"/>
  <c r="A52" i="14" s="1"/>
  <c r="A53" i="14" s="1"/>
  <c r="A54" i="14" s="1"/>
  <c r="A55" i="14" s="1"/>
  <c r="A56" i="14" s="1"/>
  <c r="A57" i="14" s="1"/>
  <c r="A33" i="14"/>
  <c r="A34" i="14" l="1"/>
  <c r="O4" i="14"/>
  <c r="O5" i="14"/>
  <c r="O6" i="14"/>
  <c r="O7" i="14"/>
  <c r="O8" i="14"/>
  <c r="O9" i="14"/>
  <c r="O10" i="14"/>
  <c r="O11" i="14"/>
  <c r="O12" i="14"/>
  <c r="O13" i="14"/>
  <c r="J4" i="14"/>
  <c r="J5" i="14" s="1"/>
  <c r="J6" i="14" s="1"/>
  <c r="J7" i="14" s="1"/>
  <c r="J8" i="14" s="1"/>
  <c r="J9" i="14" s="1"/>
  <c r="J10" i="14" s="1"/>
  <c r="A35" i="14" l="1"/>
  <c r="A36" i="14" l="1"/>
  <c r="A37" i="14" l="1"/>
  <c r="O14"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43" i="14"/>
  <c r="O44" i="14"/>
  <c r="O45" i="14"/>
  <c r="O46" i="14"/>
  <c r="O47" i="14"/>
  <c r="O48" i="14"/>
  <c r="O49" i="14"/>
  <c r="O50" i="14"/>
  <c r="O51" i="14"/>
  <c r="O52" i="14"/>
  <c r="O53" i="14"/>
  <c r="O54" i="14"/>
  <c r="O55" i="14"/>
  <c r="O56" i="14"/>
  <c r="O57" i="14"/>
  <c r="O58" i="14"/>
  <c r="O59" i="14"/>
  <c r="O60" i="14"/>
  <c r="O61" i="14"/>
  <c r="O62" i="14"/>
  <c r="O63" i="14"/>
  <c r="O64" i="14"/>
  <c r="O65" i="14"/>
  <c r="O66" i="14"/>
  <c r="O67" i="14"/>
  <c r="O68" i="14"/>
  <c r="O69" i="14"/>
  <c r="O70" i="14"/>
  <c r="O71" i="14"/>
  <c r="O72" i="14"/>
  <c r="O73" i="14"/>
  <c r="O74" i="14"/>
  <c r="O75" i="14"/>
  <c r="O76" i="14"/>
  <c r="O77" i="14"/>
  <c r="B7" i="15"/>
  <c r="A38" i="14" l="1"/>
  <c r="A39" i="14" l="1"/>
  <c r="B12" i="14"/>
  <c r="F17" i="19" l="1"/>
  <c r="F16" i="19"/>
  <c r="F15" i="19"/>
  <c r="I3" i="14" s="1"/>
  <c r="M16" i="17"/>
  <c r="M15" i="17"/>
  <c r="F14" i="19"/>
  <c r="F13" i="19"/>
  <c r="J11" i="17" s="1"/>
  <c r="F12" i="19"/>
  <c r="F11" i="19"/>
  <c r="F10" i="19"/>
  <c r="F9" i="19"/>
  <c r="A4" i="14"/>
  <c r="F8" i="19"/>
  <c r="B4" i="14" s="1"/>
  <c r="U15" i="17" l="1"/>
  <c r="Z2" i="17"/>
  <c r="Z3" i="17"/>
  <c r="A17" i="17"/>
  <c r="A26" i="14"/>
  <c r="A2" i="17"/>
  <c r="B1" i="8"/>
  <c r="Y3" i="17"/>
  <c r="Y4" i="17"/>
  <c r="Y6" i="17"/>
  <c r="Y5" i="17"/>
  <c r="H3" i="14"/>
  <c r="B4" i="10"/>
  <c r="A8" i="14"/>
  <c r="A2" i="14"/>
  <c r="A17" i="14"/>
  <c r="AA4" i="17"/>
  <c r="U11" i="17"/>
  <c r="J11" i="14" l="1"/>
  <c r="J12" i="14" s="1"/>
  <c r="J13" i="14" s="1"/>
  <c r="J14" i="14" s="1"/>
  <c r="J15" i="14" s="1"/>
  <c r="J16" i="14" s="1"/>
  <c r="J17" i="14" s="1"/>
  <c r="J18" i="14" s="1"/>
  <c r="J19" i="14" s="1"/>
  <c r="J20" i="14" s="1"/>
  <c r="J21" i="14" s="1"/>
  <c r="J22" i="14" s="1"/>
  <c r="J23" i="14" s="1"/>
  <c r="J24" i="14" s="1"/>
  <c r="J25" i="14" s="1"/>
  <c r="J26" i="14" s="1"/>
  <c r="J27" i="14" s="1"/>
  <c r="J28" i="14" s="1"/>
  <c r="J29" i="14" s="1"/>
  <c r="J30" i="14" s="1"/>
  <c r="J31" i="14" s="1"/>
  <c r="J32" i="14" s="1"/>
  <c r="J33" i="14" s="1"/>
  <c r="J34" i="14" s="1"/>
  <c r="J35" i="14" s="1"/>
  <c r="J36" i="14" s="1"/>
  <c r="J37" i="14" s="1"/>
  <c r="J38" i="14" s="1"/>
  <c r="J39" i="14" s="1"/>
  <c r="J40" i="14" s="1"/>
  <c r="J41" i="14" s="1"/>
  <c r="J42" i="14" s="1"/>
  <c r="J43" i="14" s="1"/>
  <c r="J44" i="14" s="1"/>
  <c r="J45" i="14" s="1"/>
  <c r="J46" i="14" s="1"/>
  <c r="J47" i="14" s="1"/>
  <c r="J48" i="14" s="1"/>
  <c r="J49" i="14" s="1"/>
  <c r="B2" i="10" l="1"/>
  <c r="B2" i="18" s="1"/>
  <c r="G14" i="17" l="1"/>
  <c r="B24" i="14" l="1"/>
  <c r="C65" i="8"/>
  <c r="C66" i="8" s="1"/>
  <c r="B13" i="14"/>
  <c r="B7" i="14"/>
  <c r="A3" i="17"/>
  <c r="B8" i="14" l="1"/>
  <c r="B26" i="14"/>
  <c r="C67" i="8"/>
  <c r="B14" i="14"/>
  <c r="E5" i="14" l="1"/>
  <c r="E9" i="14"/>
  <c r="H9" i="14" s="1"/>
  <c r="E13" i="14"/>
  <c r="H13" i="14" s="1"/>
  <c r="E17" i="14"/>
  <c r="H17" i="14" s="1"/>
  <c r="E21" i="14"/>
  <c r="H21" i="14" s="1"/>
  <c r="E25" i="14"/>
  <c r="H25" i="14" s="1"/>
  <c r="E29" i="14"/>
  <c r="H29" i="14" s="1"/>
  <c r="E33" i="14"/>
  <c r="H33" i="14" s="1"/>
  <c r="E37" i="14"/>
  <c r="H37" i="14" s="1"/>
  <c r="E41" i="14"/>
  <c r="H41" i="14" s="1"/>
  <c r="E45" i="14"/>
  <c r="H45" i="14" s="1"/>
  <c r="E49" i="14"/>
  <c r="H49" i="14" s="1"/>
  <c r="E53" i="14"/>
  <c r="H53" i="14" s="1"/>
  <c r="E57" i="14"/>
  <c r="H57" i="14" s="1"/>
  <c r="E61" i="14"/>
  <c r="H61" i="14" s="1"/>
  <c r="E65" i="14"/>
  <c r="H65" i="14" s="1"/>
  <c r="E69" i="14"/>
  <c r="H69" i="14" s="1"/>
  <c r="E73" i="14"/>
  <c r="H73" i="14" s="1"/>
  <c r="E77" i="14"/>
  <c r="H77" i="14" s="1"/>
  <c r="E81" i="14"/>
  <c r="H81" i="14" s="1"/>
  <c r="E85" i="14"/>
  <c r="H85" i="14" s="1"/>
  <c r="E89" i="14"/>
  <c r="H89" i="14" s="1"/>
  <c r="E93" i="14"/>
  <c r="H93" i="14" s="1"/>
  <c r="E97" i="14"/>
  <c r="H97" i="14" s="1"/>
  <c r="E101" i="14"/>
  <c r="H101" i="14" s="1"/>
  <c r="E105" i="14"/>
  <c r="H105" i="14" s="1"/>
  <c r="E109" i="14"/>
  <c r="H109" i="14" s="1"/>
  <c r="E113" i="14"/>
  <c r="H113" i="14" s="1"/>
  <c r="E117" i="14"/>
  <c r="E121" i="14"/>
  <c r="E125" i="14"/>
  <c r="E129" i="14"/>
  <c r="E133" i="14"/>
  <c r="E137" i="14"/>
  <c r="E141" i="14"/>
  <c r="E145" i="14"/>
  <c r="E149" i="14"/>
  <c r="E153" i="14"/>
  <c r="E157" i="14"/>
  <c r="E161" i="14"/>
  <c r="E165" i="14"/>
  <c r="E169" i="14"/>
  <c r="E173" i="14"/>
  <c r="E177" i="14"/>
  <c r="E181" i="14"/>
  <c r="E185" i="14"/>
  <c r="E189" i="14"/>
  <c r="E193" i="14"/>
  <c r="E197" i="14"/>
  <c r="E201" i="14"/>
  <c r="E205" i="14"/>
  <c r="E209" i="14"/>
  <c r="E213" i="14"/>
  <c r="E217" i="14"/>
  <c r="E221" i="14"/>
  <c r="E225" i="14"/>
  <c r="E229" i="14"/>
  <c r="E233" i="14"/>
  <c r="E237" i="14"/>
  <c r="E241" i="14"/>
  <c r="E245" i="14"/>
  <c r="E249" i="14"/>
  <c r="E253" i="14"/>
  <c r="E257" i="14"/>
  <c r="E261" i="14"/>
  <c r="E265" i="14"/>
  <c r="E269" i="14"/>
  <c r="E273" i="14"/>
  <c r="E277" i="14"/>
  <c r="E281" i="14"/>
  <c r="E285" i="14"/>
  <c r="E289" i="14"/>
  <c r="E92" i="14"/>
  <c r="H92" i="14" s="1"/>
  <c r="E116" i="14"/>
  <c r="E6" i="14"/>
  <c r="H6" i="14" s="1"/>
  <c r="E10" i="14"/>
  <c r="H10" i="14" s="1"/>
  <c r="E14" i="14"/>
  <c r="H14" i="14" s="1"/>
  <c r="E18" i="14"/>
  <c r="H18" i="14" s="1"/>
  <c r="E22" i="14"/>
  <c r="H22" i="14" s="1"/>
  <c r="E26" i="14"/>
  <c r="H26" i="14" s="1"/>
  <c r="E30" i="14"/>
  <c r="H30" i="14" s="1"/>
  <c r="E34" i="14"/>
  <c r="H34" i="14" s="1"/>
  <c r="E38" i="14"/>
  <c r="H38" i="14" s="1"/>
  <c r="E42" i="14"/>
  <c r="H42" i="14" s="1"/>
  <c r="E46" i="14"/>
  <c r="H46" i="14" s="1"/>
  <c r="E50" i="14"/>
  <c r="H50" i="14" s="1"/>
  <c r="E54" i="14"/>
  <c r="H54" i="14" s="1"/>
  <c r="E58" i="14"/>
  <c r="H58" i="14" s="1"/>
  <c r="E62" i="14"/>
  <c r="H62" i="14" s="1"/>
  <c r="E66" i="14"/>
  <c r="H66" i="14" s="1"/>
  <c r="E70" i="14"/>
  <c r="H70" i="14" s="1"/>
  <c r="E74" i="14"/>
  <c r="H74" i="14" s="1"/>
  <c r="E78" i="14"/>
  <c r="H78" i="14" s="1"/>
  <c r="E82" i="14"/>
  <c r="H82" i="14" s="1"/>
  <c r="E86" i="14"/>
  <c r="H86" i="14" s="1"/>
  <c r="E90" i="14"/>
  <c r="H90" i="14" s="1"/>
  <c r="E94" i="14"/>
  <c r="H94" i="14" s="1"/>
  <c r="E98" i="14"/>
  <c r="H98" i="14" s="1"/>
  <c r="E102" i="14"/>
  <c r="H102" i="14" s="1"/>
  <c r="E106" i="14"/>
  <c r="H106" i="14" s="1"/>
  <c r="E110" i="14"/>
  <c r="H110" i="14" s="1"/>
  <c r="E114" i="14"/>
  <c r="E118" i="14"/>
  <c r="E122" i="14"/>
  <c r="E126" i="14"/>
  <c r="E130" i="14"/>
  <c r="E134" i="14"/>
  <c r="E138" i="14"/>
  <c r="E142" i="14"/>
  <c r="E146" i="14"/>
  <c r="E150" i="14"/>
  <c r="E154" i="14"/>
  <c r="E158" i="14"/>
  <c r="E162" i="14"/>
  <c r="E166" i="14"/>
  <c r="E170" i="14"/>
  <c r="E174" i="14"/>
  <c r="E178" i="14"/>
  <c r="E182" i="14"/>
  <c r="E186" i="14"/>
  <c r="E190" i="14"/>
  <c r="E194" i="14"/>
  <c r="E198" i="14"/>
  <c r="E202" i="14"/>
  <c r="E206" i="14"/>
  <c r="E210" i="14"/>
  <c r="E214" i="14"/>
  <c r="E218" i="14"/>
  <c r="E222" i="14"/>
  <c r="E226" i="14"/>
  <c r="E230" i="14"/>
  <c r="E234" i="14"/>
  <c r="E238" i="14"/>
  <c r="E242" i="14"/>
  <c r="E246" i="14"/>
  <c r="E250" i="14"/>
  <c r="E254" i="14"/>
  <c r="E258" i="14"/>
  <c r="E262" i="14"/>
  <c r="E266" i="14"/>
  <c r="E270" i="14"/>
  <c r="E274" i="14"/>
  <c r="E278" i="14"/>
  <c r="E282" i="14"/>
  <c r="E286" i="14"/>
  <c r="E290" i="14"/>
  <c r="E8" i="14"/>
  <c r="H8" i="14" s="1"/>
  <c r="E20" i="14"/>
  <c r="H20" i="14" s="1"/>
  <c r="E28" i="14"/>
  <c r="H28" i="14" s="1"/>
  <c r="E36" i="14"/>
  <c r="H36" i="14" s="1"/>
  <c r="E44" i="14"/>
  <c r="H44" i="14" s="1"/>
  <c r="E52" i="14"/>
  <c r="H52" i="14" s="1"/>
  <c r="E60" i="14"/>
  <c r="H60" i="14" s="1"/>
  <c r="E68" i="14"/>
  <c r="H68" i="14" s="1"/>
  <c r="E76" i="14"/>
  <c r="H76" i="14" s="1"/>
  <c r="E84" i="14"/>
  <c r="H84" i="14" s="1"/>
  <c r="E96" i="14"/>
  <c r="H96" i="14" s="1"/>
  <c r="E104" i="14"/>
  <c r="H104" i="14" s="1"/>
  <c r="E112" i="14"/>
  <c r="H112" i="14" s="1"/>
  <c r="E7" i="14"/>
  <c r="H7" i="14" s="1"/>
  <c r="E11" i="14"/>
  <c r="H11" i="14" s="1"/>
  <c r="E15" i="14"/>
  <c r="H15" i="14" s="1"/>
  <c r="E19" i="14"/>
  <c r="H19" i="14" s="1"/>
  <c r="E23" i="14"/>
  <c r="H23" i="14" s="1"/>
  <c r="E27" i="14"/>
  <c r="H27" i="14" s="1"/>
  <c r="E31" i="14"/>
  <c r="H31" i="14" s="1"/>
  <c r="E35" i="14"/>
  <c r="H35" i="14" s="1"/>
  <c r="E39" i="14"/>
  <c r="H39" i="14" s="1"/>
  <c r="E43" i="14"/>
  <c r="H43" i="14" s="1"/>
  <c r="E47" i="14"/>
  <c r="H47" i="14" s="1"/>
  <c r="E51" i="14"/>
  <c r="H51" i="14" s="1"/>
  <c r="E55" i="14"/>
  <c r="H55" i="14" s="1"/>
  <c r="E59" i="14"/>
  <c r="H59" i="14" s="1"/>
  <c r="E63" i="14"/>
  <c r="H63" i="14" s="1"/>
  <c r="E67" i="14"/>
  <c r="H67" i="14" s="1"/>
  <c r="E71" i="14"/>
  <c r="H71" i="14" s="1"/>
  <c r="E75" i="14"/>
  <c r="H75" i="14" s="1"/>
  <c r="E79" i="14"/>
  <c r="H79" i="14" s="1"/>
  <c r="E83" i="14"/>
  <c r="H83" i="14" s="1"/>
  <c r="E87" i="14"/>
  <c r="H87" i="14" s="1"/>
  <c r="E91" i="14"/>
  <c r="H91" i="14" s="1"/>
  <c r="E95" i="14"/>
  <c r="H95" i="14" s="1"/>
  <c r="E99" i="14"/>
  <c r="H99" i="14" s="1"/>
  <c r="E103" i="14"/>
  <c r="H103" i="14" s="1"/>
  <c r="E107" i="14"/>
  <c r="H107" i="14" s="1"/>
  <c r="E111" i="14"/>
  <c r="H111" i="14" s="1"/>
  <c r="E115" i="14"/>
  <c r="E119" i="14"/>
  <c r="E123" i="14"/>
  <c r="E127" i="14"/>
  <c r="E131" i="14"/>
  <c r="E135" i="14"/>
  <c r="E139" i="14"/>
  <c r="E143" i="14"/>
  <c r="E147" i="14"/>
  <c r="E151" i="14"/>
  <c r="E155" i="14"/>
  <c r="E159" i="14"/>
  <c r="E163" i="14"/>
  <c r="E167" i="14"/>
  <c r="E171" i="14"/>
  <c r="E175" i="14"/>
  <c r="E179" i="14"/>
  <c r="E183" i="14"/>
  <c r="E187" i="14"/>
  <c r="E191" i="14"/>
  <c r="E195" i="14"/>
  <c r="E199" i="14"/>
  <c r="E203" i="14"/>
  <c r="E207" i="14"/>
  <c r="E211" i="14"/>
  <c r="E215" i="14"/>
  <c r="E219" i="14"/>
  <c r="E223" i="14"/>
  <c r="E227" i="14"/>
  <c r="E231" i="14"/>
  <c r="E235" i="14"/>
  <c r="E239" i="14"/>
  <c r="E243" i="14"/>
  <c r="E247" i="14"/>
  <c r="E251" i="14"/>
  <c r="E255" i="14"/>
  <c r="E259" i="14"/>
  <c r="E263" i="14"/>
  <c r="E267" i="14"/>
  <c r="E271" i="14"/>
  <c r="E275" i="14"/>
  <c r="E279" i="14"/>
  <c r="E283" i="14"/>
  <c r="E287" i="14"/>
  <c r="E4" i="14"/>
  <c r="E12" i="14"/>
  <c r="H12" i="14" s="1"/>
  <c r="E16" i="14"/>
  <c r="H16" i="14" s="1"/>
  <c r="E24" i="14"/>
  <c r="H24" i="14" s="1"/>
  <c r="E32" i="14"/>
  <c r="H32" i="14" s="1"/>
  <c r="E40" i="14"/>
  <c r="H40" i="14" s="1"/>
  <c r="E48" i="14"/>
  <c r="H48" i="14" s="1"/>
  <c r="E56" i="14"/>
  <c r="H56" i="14" s="1"/>
  <c r="E64" i="14"/>
  <c r="H64" i="14" s="1"/>
  <c r="E72" i="14"/>
  <c r="H72" i="14" s="1"/>
  <c r="E80" i="14"/>
  <c r="H80" i="14" s="1"/>
  <c r="E88" i="14"/>
  <c r="H88" i="14" s="1"/>
  <c r="E100" i="14"/>
  <c r="H100" i="14" s="1"/>
  <c r="E108" i="14"/>
  <c r="H108" i="14" s="1"/>
  <c r="E120" i="14"/>
  <c r="E136" i="14"/>
  <c r="E152" i="14"/>
  <c r="E168" i="14"/>
  <c r="E184" i="14"/>
  <c r="E200" i="14"/>
  <c r="E216" i="14"/>
  <c r="E232" i="14"/>
  <c r="E248" i="14"/>
  <c r="E264" i="14"/>
  <c r="E280" i="14"/>
  <c r="E148" i="14"/>
  <c r="E212" i="14"/>
  <c r="E260" i="14"/>
  <c r="E124" i="14"/>
  <c r="E140" i="14"/>
  <c r="E156" i="14"/>
  <c r="E172" i="14"/>
  <c r="E188" i="14"/>
  <c r="E204" i="14"/>
  <c r="E220" i="14"/>
  <c r="E236" i="14"/>
  <c r="E252" i="14"/>
  <c r="E268" i="14"/>
  <c r="E284" i="14"/>
  <c r="E180" i="14"/>
  <c r="E228" i="14"/>
  <c r="E276" i="14"/>
  <c r="E128" i="14"/>
  <c r="E144" i="14"/>
  <c r="E160" i="14"/>
  <c r="E176" i="14"/>
  <c r="E192" i="14"/>
  <c r="E208" i="14"/>
  <c r="E224" i="14"/>
  <c r="E240" i="14"/>
  <c r="E256" i="14"/>
  <c r="E272" i="14"/>
  <c r="E288" i="14"/>
  <c r="E132" i="14"/>
  <c r="E164" i="14"/>
  <c r="E196" i="14"/>
  <c r="E244" i="14"/>
  <c r="B15" i="14"/>
  <c r="B16" i="14" s="1"/>
  <c r="E36" i="9"/>
  <c r="L4" i="14" l="1"/>
  <c r="F36" i="9"/>
  <c r="M6" i="14" l="1"/>
  <c r="E39" i="9"/>
  <c r="L5" i="14" l="1"/>
  <c r="M5" i="14"/>
  <c r="M7" i="14"/>
  <c r="L6" i="14"/>
  <c r="B3" i="8"/>
  <c r="M8" i="14" l="1"/>
  <c r="L7" i="14"/>
  <c r="B5" i="14"/>
  <c r="B6" i="14" s="1"/>
  <c r="L8" i="14" l="1"/>
  <c r="L9" i="14" l="1"/>
  <c r="M9" i="14"/>
  <c r="M10" i="14"/>
  <c r="L10" i="14"/>
  <c r="M11" i="14" l="1"/>
  <c r="L11" i="14"/>
  <c r="M12" i="14" l="1"/>
  <c r="L12" i="14"/>
  <c r="M13" i="14" l="1"/>
  <c r="L13" i="14"/>
  <c r="M14" i="14" l="1"/>
  <c r="L14" i="14"/>
  <c r="M15" i="14" l="1"/>
  <c r="L15" i="14"/>
  <c r="M16" i="14" l="1"/>
  <c r="L16" i="14"/>
  <c r="M17" i="14" l="1"/>
  <c r="L17" i="14"/>
  <c r="M18" i="14" l="1"/>
  <c r="L18" i="14"/>
  <c r="M19" i="14" l="1"/>
  <c r="L19" i="14"/>
  <c r="M20" i="14" l="1"/>
  <c r="L20" i="14"/>
  <c r="M21" i="14" l="1"/>
  <c r="L21" i="14"/>
  <c r="M22" i="14" l="1"/>
  <c r="L22" i="14"/>
  <c r="L24" i="14" l="1"/>
  <c r="M23" i="14"/>
  <c r="L23" i="14"/>
  <c r="L25" i="14" l="1"/>
  <c r="M24" i="14"/>
  <c r="L26" i="14" l="1"/>
  <c r="M25" i="14"/>
  <c r="L27" i="14" l="1"/>
  <c r="M26" i="14"/>
  <c r="L28" i="14" l="1"/>
  <c r="M27" i="14"/>
  <c r="L29" i="14" l="1"/>
  <c r="M28" i="14"/>
  <c r="L30" i="14" l="1"/>
  <c r="M29" i="14"/>
  <c r="M30" i="14" l="1"/>
  <c r="L32" i="14" l="1"/>
  <c r="M31" i="14"/>
  <c r="L31" i="14"/>
  <c r="L33" i="14" l="1"/>
  <c r="M32" i="14"/>
  <c r="L34" i="14" l="1"/>
  <c r="M33" i="14"/>
  <c r="L35" i="14" l="1"/>
  <c r="M34" i="14"/>
  <c r="M35" i="14" l="1"/>
  <c r="L37" i="14" l="1"/>
  <c r="M36" i="14"/>
  <c r="L36" i="14"/>
  <c r="L38" i="14" l="1"/>
  <c r="M37" i="14"/>
  <c r="L39" i="14" l="1"/>
  <c r="M38" i="14"/>
  <c r="L40" i="14" l="1"/>
  <c r="M39" i="14"/>
  <c r="M40" i="14" l="1"/>
  <c r="L42" i="14" l="1"/>
  <c r="M41" i="14"/>
  <c r="L41" i="14"/>
  <c r="L43" i="14" l="1"/>
  <c r="M42" i="14"/>
  <c r="L44" i="14" l="1"/>
  <c r="M43" i="14"/>
  <c r="L45" i="14" l="1"/>
  <c r="M44" i="14"/>
  <c r="M45" i="14" l="1"/>
  <c r="L46" i="14"/>
  <c r="L47" i="14" l="1"/>
  <c r="M46" i="14"/>
  <c r="L48" i="14" l="1"/>
  <c r="M47" i="14"/>
  <c r="M49" i="14" l="1"/>
  <c r="M48" i="14"/>
  <c r="L49" i="14" l="1"/>
  <c r="F30" i="9"/>
  <c r="G27" i="9"/>
  <c r="F27" i="9"/>
  <c r="G30" i="9"/>
  <c r="E27" i="9"/>
  <c r="E30" i="9"/>
  <c r="C64" i="8" l="1"/>
  <c r="C63" i="8" l="1"/>
  <c r="C62" i="8" l="1"/>
  <c r="AB66" i="8" l="1"/>
  <c r="C61" i="8"/>
  <c r="AB67" i="8" l="1"/>
  <c r="C68" i="8"/>
  <c r="C60" i="8"/>
  <c r="AB68" i="8" l="1"/>
  <c r="C69" i="8"/>
  <c r="C59" i="8"/>
  <c r="AB69" i="8" l="1"/>
  <c r="C70" i="8"/>
  <c r="C58" i="8"/>
  <c r="AB70" i="8" l="1"/>
  <c r="C71" i="8"/>
  <c r="C57" i="8"/>
  <c r="AB71" i="8" l="1"/>
  <c r="C72" i="8"/>
  <c r="C56" i="8"/>
  <c r="AB72" i="8" l="1"/>
  <c r="C73" i="8"/>
  <c r="C55" i="8"/>
  <c r="AB73" i="8" l="1"/>
  <c r="C74" i="8"/>
  <c r="C54" i="8"/>
  <c r="AB74" i="8" l="1"/>
  <c r="C75" i="8"/>
  <c r="C53" i="8"/>
  <c r="C52" i="8" l="1"/>
  <c r="AB75" i="8"/>
  <c r="C76" i="8"/>
  <c r="C51" i="8" l="1"/>
  <c r="AB76" i="8"/>
  <c r="C77" i="8"/>
  <c r="C50" i="8" l="1"/>
  <c r="AB77" i="8"/>
  <c r="C78" i="8"/>
  <c r="C49" i="8" l="1"/>
  <c r="AB78" i="8"/>
  <c r="C79" i="8"/>
  <c r="C48" i="8" l="1"/>
  <c r="AB79" i="8"/>
  <c r="C80" i="8"/>
  <c r="C47" i="8" l="1"/>
  <c r="AB80" i="8"/>
  <c r="C81" i="8"/>
  <c r="C46" i="8" l="1"/>
  <c r="AB81" i="8"/>
  <c r="C82" i="8"/>
  <c r="C45" i="8" l="1"/>
  <c r="AB82" i="8"/>
  <c r="C83" i="8"/>
  <c r="C44" i="8" l="1"/>
  <c r="AB83" i="8"/>
  <c r="C84" i="8"/>
  <c r="C43" i="8" l="1"/>
  <c r="AB84" i="8"/>
  <c r="C85" i="8"/>
  <c r="C42" i="8" l="1"/>
  <c r="AB85" i="8"/>
  <c r="C86" i="8"/>
  <c r="C41" i="8" l="1"/>
  <c r="AB86" i="8"/>
  <c r="C87" i="8"/>
  <c r="C40" i="8" l="1"/>
  <c r="AB87" i="8"/>
  <c r="C88" i="8"/>
  <c r="C39" i="8" l="1"/>
  <c r="AB88" i="8"/>
  <c r="C89" i="8"/>
  <c r="C38" i="8" l="1"/>
  <c r="AB89" i="8"/>
  <c r="C90" i="8"/>
  <c r="C37" i="8" l="1"/>
  <c r="AB90" i="8"/>
  <c r="C91" i="8"/>
  <c r="C36" i="8" l="1"/>
  <c r="AB91" i="8"/>
  <c r="C92" i="8"/>
  <c r="C35" i="8" l="1"/>
  <c r="AB92" i="8"/>
  <c r="C93" i="8"/>
  <c r="C34" i="8" l="1"/>
  <c r="AB93" i="8"/>
  <c r="C94" i="8"/>
  <c r="C33" i="8" l="1"/>
  <c r="AB94" i="8"/>
  <c r="C95" i="8"/>
  <c r="C32" i="8" l="1"/>
  <c r="AB95" i="8"/>
  <c r="C96" i="8"/>
  <c r="C31" i="8" l="1"/>
  <c r="AB96" i="8"/>
  <c r="C97" i="8"/>
  <c r="C30" i="8" l="1"/>
  <c r="AB97" i="8"/>
  <c r="C98" i="8"/>
  <c r="C29" i="8" l="1"/>
  <c r="AB98" i="8"/>
  <c r="C99" i="8"/>
  <c r="C28" i="8" l="1"/>
  <c r="AB99" i="8"/>
  <c r="C100" i="8"/>
  <c r="C27" i="8" l="1"/>
  <c r="AB100" i="8"/>
  <c r="C101" i="8"/>
  <c r="C26" i="8" l="1"/>
  <c r="AB101" i="8"/>
  <c r="C102" i="8"/>
  <c r="C25" i="8" l="1"/>
  <c r="AB102" i="8"/>
  <c r="C103" i="8"/>
  <c r="C24" i="8" l="1"/>
  <c r="AB103" i="8"/>
  <c r="C104" i="8"/>
  <c r="C23" i="8" l="1"/>
  <c r="AB104" i="8"/>
  <c r="C105" i="8"/>
  <c r="C22" i="8" l="1"/>
  <c r="AB105" i="8"/>
  <c r="C106" i="8"/>
  <c r="C21" i="8" l="1"/>
  <c r="AB106" i="8"/>
  <c r="C107" i="8"/>
  <c r="C20" i="8" l="1"/>
  <c r="AB107" i="8"/>
  <c r="C108" i="8"/>
  <c r="C19" i="8" l="1"/>
  <c r="AB108" i="8"/>
  <c r="C109" i="8"/>
  <c r="C18" i="8" l="1"/>
  <c r="AB109" i="8"/>
  <c r="C110" i="8"/>
  <c r="C17" i="8" l="1"/>
  <c r="AB110" i="8"/>
  <c r="C111" i="8"/>
  <c r="C16" i="8" l="1"/>
  <c r="AB111" i="8"/>
  <c r="C112" i="8"/>
  <c r="C15" i="8" l="1"/>
  <c r="AB112" i="8"/>
  <c r="C113" i="8"/>
  <c r="C14" i="8" l="1"/>
  <c r="AB113" i="8"/>
  <c r="C114" i="8"/>
  <c r="C13" i="8" l="1"/>
  <c r="AB114" i="8"/>
  <c r="C115" i="8"/>
  <c r="C12" i="8" l="1"/>
  <c r="AB115" i="8"/>
  <c r="C116" i="8"/>
  <c r="C11" i="8" l="1"/>
  <c r="AB116" i="8"/>
  <c r="C117" i="8"/>
  <c r="C10" i="8" l="1"/>
  <c r="AB117" i="8"/>
  <c r="C118" i="8"/>
  <c r="AB118" i="8" l="1"/>
  <c r="C119" i="8"/>
  <c r="AB119" i="8" l="1"/>
  <c r="C120" i="8"/>
  <c r="AB120" i="8" l="1"/>
  <c r="C121" i="8"/>
  <c r="AB121" i="8" l="1"/>
  <c r="C122" i="8"/>
  <c r="AB122" i="8" l="1"/>
  <c r="C123" i="8"/>
  <c r="AB123" i="8" l="1"/>
  <c r="C124" i="8"/>
  <c r="AB124" i="8" l="1"/>
  <c r="C125" i="8"/>
  <c r="AB125" i="8" l="1"/>
  <c r="C126" i="8"/>
  <c r="AB126" i="8" l="1"/>
  <c r="C127" i="8"/>
  <c r="AB127" i="8" l="1"/>
  <c r="C128" i="8"/>
  <c r="AB128" i="8" l="1"/>
  <c r="C129" i="8"/>
  <c r="AB129" i="8" l="1"/>
  <c r="C130" i="8"/>
  <c r="AB130" i="8" l="1"/>
  <c r="C131" i="8"/>
  <c r="AB131" i="8" l="1"/>
  <c r="C132" i="8"/>
  <c r="AB132" i="8" l="1"/>
  <c r="C133" i="8"/>
  <c r="AB133" i="8" l="1"/>
  <c r="C134" i="8"/>
  <c r="AB134" i="8" l="1"/>
  <c r="C135" i="8"/>
  <c r="C136" i="8" l="1"/>
  <c r="AB135" i="8"/>
  <c r="AB136" i="8" l="1"/>
  <c r="C137" i="8"/>
  <c r="C138" i="8" l="1"/>
  <c r="C139" i="8" s="1"/>
  <c r="AB137" i="8"/>
  <c r="AB138" i="8" l="1"/>
  <c r="AB139" i="8"/>
  <c r="C140" i="8"/>
  <c r="C141" i="8" l="1"/>
  <c r="AB140" i="8"/>
  <c r="C142" i="8" l="1"/>
  <c r="AB141" i="8"/>
  <c r="C143" i="8" l="1"/>
  <c r="AB142" i="8"/>
  <c r="AB143" i="8" l="1"/>
  <c r="C144" i="8"/>
  <c r="AB144" i="8" l="1"/>
  <c r="C145" i="8"/>
  <c r="AB145" i="8" l="1"/>
  <c r="C146" i="8"/>
  <c r="AB146" i="8" l="1"/>
  <c r="C147" i="8"/>
  <c r="C148" i="8" l="1"/>
  <c r="AB147" i="8"/>
  <c r="AB148" i="8" l="1"/>
  <c r="C149" i="8"/>
  <c r="C150" i="8" l="1"/>
  <c r="AB149" i="8"/>
  <c r="AB150" i="8" l="1"/>
  <c r="C151" i="8"/>
  <c r="AB151" i="8" l="1"/>
  <c r="C152" i="8"/>
  <c r="AB152" i="8" l="1"/>
  <c r="C153" i="8"/>
  <c r="AB153" i="8" l="1"/>
  <c r="C154" i="8"/>
  <c r="AB154" i="8" l="1"/>
  <c r="C155" i="8"/>
  <c r="C156" i="8" l="1"/>
  <c r="AB155" i="8"/>
  <c r="AB156" i="8" l="1"/>
  <c r="C157" i="8"/>
  <c r="AB157" i="8" l="1"/>
  <c r="C158" i="8"/>
  <c r="C159" i="8" l="1"/>
  <c r="AB158" i="8"/>
  <c r="AB159" i="8" l="1"/>
  <c r="C160" i="8"/>
  <c r="AB160" i="8" l="1"/>
  <c r="C161" i="8"/>
  <c r="C162" i="8" l="1"/>
  <c r="AB161" i="8"/>
  <c r="AB162" i="8" l="1"/>
  <c r="C163" i="8"/>
  <c r="C164" i="8" l="1"/>
  <c r="AB163" i="8"/>
  <c r="C165" i="8" l="1"/>
  <c r="AB164" i="8"/>
  <c r="C166" i="8" l="1"/>
  <c r="AB165" i="8"/>
  <c r="C167" i="8" l="1"/>
  <c r="AB166" i="8"/>
  <c r="AB167" i="8" l="1"/>
  <c r="C168" i="8"/>
  <c r="AB168" i="8" l="1"/>
  <c r="C169" i="8"/>
  <c r="AB169" i="8" l="1"/>
  <c r="C170" i="8"/>
  <c r="AB170" i="8" l="1"/>
  <c r="O78" i="14" l="1"/>
  <c r="O79" i="14" l="1"/>
  <c r="O80" i="14" l="1"/>
  <c r="O81" i="14" l="1"/>
  <c r="O82" i="14" l="1"/>
  <c r="O83" i="14" l="1"/>
  <c r="O84" i="14" l="1"/>
  <c r="O85" i="14" l="1"/>
  <c r="O86" i="14" l="1"/>
  <c r="O87" i="14" l="1"/>
  <c r="O88" i="14" l="1"/>
  <c r="O89" i="14" l="1"/>
  <c r="O90" i="14" l="1"/>
  <c r="O91" i="14" l="1"/>
  <c r="O92" i="14" l="1"/>
  <c r="O94" i="14" l="1"/>
  <c r="O93" i="14" l="1"/>
  <c r="O95" i="14" l="1"/>
  <c r="O96" i="14" l="1"/>
  <c r="O97" i="14" l="1"/>
  <c r="O98" i="14" l="1"/>
  <c r="O99" i="14" l="1"/>
  <c r="O100" i="14" l="1"/>
  <c r="O101" i="14" l="1"/>
  <c r="O102" i="14" l="1"/>
  <c r="O103" i="14" l="1"/>
  <c r="O104" i="14" l="1"/>
  <c r="O105" i="14" l="1"/>
  <c r="O106" i="14" l="1"/>
  <c r="O107" i="14" l="1"/>
  <c r="J50" i="14" l="1"/>
  <c r="J51" i="14" s="1"/>
  <c r="J52" i="14" s="1"/>
  <c r="J53" i="14" s="1"/>
  <c r="J54" i="14" s="1"/>
  <c r="J55" i="14" s="1"/>
  <c r="J56" i="14" s="1"/>
  <c r="J57" i="14" s="1"/>
  <c r="J58" i="14" s="1"/>
  <c r="J59" i="14" s="1"/>
  <c r="J60" i="14" s="1"/>
  <c r="J61" i="14" s="1"/>
  <c r="J62" i="14" s="1"/>
  <c r="J63" i="14" s="1"/>
  <c r="J64" i="14" s="1"/>
  <c r="J65" i="14" s="1"/>
  <c r="J66" i="14" s="1"/>
  <c r="J67" i="14" s="1"/>
  <c r="J68" i="14" s="1"/>
  <c r="J69" i="14" s="1"/>
  <c r="J70" i="14" s="1"/>
  <c r="J71" i="14" s="1"/>
  <c r="J72" i="14" s="1"/>
  <c r="J73" i="14" s="1"/>
  <c r="J74" i="14" s="1"/>
  <c r="J75" i="14" s="1"/>
  <c r="J76" i="14" s="1"/>
  <c r="J77" i="14" s="1"/>
  <c r="J78" i="14" s="1"/>
  <c r="J79" i="14" s="1"/>
  <c r="J80" i="14" s="1"/>
  <c r="J81" i="14" s="1"/>
  <c r="J82" i="14" s="1"/>
  <c r="J83" i="14" s="1"/>
  <c r="J84" i="14" s="1"/>
  <c r="J85" i="14" s="1"/>
  <c r="J86" i="14" s="1"/>
  <c r="J87" i="14" s="1"/>
  <c r="J88" i="14" s="1"/>
  <c r="J89" i="14" s="1"/>
  <c r="J90" i="14" s="1"/>
  <c r="J91" i="14" s="1"/>
  <c r="J92" i="14" s="1"/>
  <c r="J93" i="14" s="1"/>
  <c r="J94" i="14" s="1"/>
  <c r="J95" i="14" s="1"/>
  <c r="J96" i="14" s="1"/>
  <c r="J97" i="14" s="1"/>
  <c r="J98" i="14" s="1"/>
  <c r="J99" i="14" s="1"/>
  <c r="J100" i="14" s="1"/>
  <c r="J101" i="14" s="1"/>
  <c r="J102" i="14" s="1"/>
  <c r="J103" i="14" s="1"/>
  <c r="J104" i="14" s="1"/>
  <c r="J105" i="14" s="1"/>
  <c r="J106" i="14" l="1"/>
  <c r="J107" i="14" s="1"/>
  <c r="J108" i="14" s="1"/>
  <c r="J109" i="14" s="1"/>
  <c r="M50" i="14"/>
  <c r="M51" i="14" l="1"/>
  <c r="L50" i="14"/>
  <c r="M52" i="14" l="1"/>
  <c r="L51" i="14"/>
  <c r="M53" i="14" l="1"/>
  <c r="L52" i="14"/>
  <c r="M54" i="14" l="1"/>
  <c r="L53" i="14"/>
  <c r="L54" i="14" l="1"/>
  <c r="M55" i="14"/>
  <c r="M56" i="14" l="1"/>
  <c r="L55" i="14"/>
  <c r="M57" i="14" l="1"/>
  <c r="L56" i="14"/>
  <c r="M58" i="14" l="1"/>
  <c r="L57" i="14"/>
  <c r="M59" i="14" l="1"/>
  <c r="L58" i="14"/>
  <c r="M60" i="14" l="1"/>
  <c r="L59" i="14"/>
  <c r="M61" i="14" l="1"/>
  <c r="L60" i="14"/>
  <c r="M62" i="14" l="1"/>
  <c r="L61" i="14"/>
  <c r="M63" i="14" l="1"/>
  <c r="L62" i="14"/>
  <c r="M64" i="14" l="1"/>
  <c r="L63" i="14"/>
  <c r="L64" i="14" l="1"/>
  <c r="M65" i="14"/>
  <c r="L65" i="14" l="1"/>
  <c r="M66" i="14"/>
  <c r="M67" i="14" l="1"/>
  <c r="L66" i="14"/>
  <c r="M68" i="14" l="1"/>
  <c r="L67" i="14"/>
  <c r="M69" i="14" l="1"/>
  <c r="L68" i="14"/>
  <c r="L69" i="14" l="1"/>
  <c r="M70" i="14"/>
  <c r="M71" i="14" l="1"/>
  <c r="L70" i="14"/>
  <c r="M72" i="14" l="1"/>
  <c r="L71" i="14"/>
  <c r="M73" i="14" l="1"/>
  <c r="L72" i="14"/>
  <c r="L73" i="14" l="1"/>
  <c r="M74" i="14"/>
  <c r="M75" i="14" l="1"/>
  <c r="L74" i="14"/>
  <c r="M76" i="14" l="1"/>
  <c r="L75" i="14"/>
  <c r="M77" i="14" l="1"/>
  <c r="L76" i="14"/>
  <c r="L77" i="14" l="1"/>
  <c r="M78" i="14"/>
  <c r="L78" i="14"/>
  <c r="M79" i="14"/>
  <c r="L79" i="14" l="1"/>
  <c r="M80" i="14"/>
  <c r="L80" i="14" l="1"/>
  <c r="M81" i="14"/>
  <c r="M82" i="14" l="1"/>
  <c r="L81" i="14"/>
  <c r="M83" i="14" l="1"/>
  <c r="L82" i="14"/>
  <c r="M84" i="14" l="1"/>
  <c r="L83" i="14"/>
  <c r="M85" i="14" l="1"/>
  <c r="L84" i="14"/>
  <c r="M86" i="14" l="1"/>
  <c r="L85" i="14"/>
  <c r="M87" i="14" l="1"/>
  <c r="L86" i="14"/>
  <c r="M88" i="14" l="1"/>
  <c r="L87" i="14"/>
  <c r="M89" i="14" l="1"/>
  <c r="L88" i="14"/>
  <c r="M90" i="14" l="1"/>
  <c r="L89" i="14"/>
  <c r="M91" i="14" l="1"/>
  <c r="L90" i="14"/>
  <c r="M92" i="14" l="1"/>
  <c r="L91" i="14"/>
  <c r="M93" i="14" l="1"/>
  <c r="L92" i="14"/>
  <c r="M94" i="14" l="1"/>
  <c r="L93" i="14"/>
  <c r="M95" i="14" l="1"/>
  <c r="L94" i="14"/>
  <c r="M96" i="14" l="1"/>
  <c r="L95" i="14"/>
  <c r="M97" i="14" l="1"/>
  <c r="L96" i="14"/>
  <c r="M98" i="14" l="1"/>
  <c r="L97" i="14"/>
  <c r="M99" i="14" l="1"/>
  <c r="L98" i="14"/>
  <c r="M100" i="14" l="1"/>
  <c r="L99" i="14"/>
  <c r="M101" i="14" l="1"/>
  <c r="L100" i="14"/>
  <c r="M102" i="14" l="1"/>
  <c r="L101" i="14"/>
  <c r="M103" i="14" l="1"/>
  <c r="L102" i="14"/>
  <c r="M104" i="14" l="1"/>
  <c r="L103" i="14"/>
  <c r="M105" i="14" l="1"/>
  <c r="L104" i="14"/>
  <c r="L105" i="14" l="1"/>
  <c r="M106" i="14"/>
  <c r="L106" i="14" l="1"/>
  <c r="M107" i="14"/>
  <c r="L107" i="14" l="1"/>
  <c r="O108" i="14" l="1"/>
  <c r="J110" i="14"/>
  <c r="M108" i="14" l="1"/>
  <c r="L108" i="14"/>
  <c r="J111" i="14"/>
  <c r="O109" i="14" l="1"/>
  <c r="M109" i="14" l="1"/>
  <c r="L109" i="14" l="1"/>
  <c r="O110" i="14" l="1"/>
  <c r="M110" i="14" l="1"/>
  <c r="L110" i="14" l="1"/>
  <c r="O111" i="14" l="1"/>
  <c r="M111" i="14" l="1"/>
  <c r="L111" i="14" l="1"/>
  <c r="O112" i="14" l="1"/>
  <c r="J112" i="14" l="1"/>
  <c r="M112" i="14"/>
  <c r="L112" i="14" l="1"/>
  <c r="O113" i="14" l="1"/>
  <c r="M113" i="14" l="1"/>
  <c r="L113" i="14"/>
  <c r="H114" i="14" l="1"/>
  <c r="J113" i="14" l="1"/>
  <c r="O114" i="14"/>
  <c r="J114" i="14" l="1"/>
  <c r="L114" i="14" l="1"/>
  <c r="M114" i="14"/>
  <c r="H115" i="14"/>
  <c r="J115" i="14" l="1"/>
  <c r="O115" i="14"/>
  <c r="M115" i="14" l="1"/>
  <c r="L115" i="14"/>
  <c r="J116" i="14" l="1"/>
  <c r="O116" i="14"/>
  <c r="H116" i="14"/>
  <c r="L116" i="14" l="1"/>
  <c r="M116" i="14" l="1"/>
  <c r="H117" i="14"/>
  <c r="O117" i="14"/>
  <c r="J117" i="14"/>
  <c r="M117" i="14" l="1"/>
  <c r="L117" i="14"/>
  <c r="H118" i="14" l="1"/>
  <c r="O118" i="14"/>
  <c r="J118" i="14" l="1"/>
  <c r="J119" i="14" l="1"/>
  <c r="L118" i="14"/>
  <c r="M118" i="14"/>
  <c r="O119" i="14" l="1"/>
  <c r="H119" i="14"/>
  <c r="M119" i="14" l="1"/>
  <c r="L119" i="14"/>
  <c r="O120" i="14" l="1"/>
  <c r="H120" i="14"/>
  <c r="J120" i="14" l="1"/>
  <c r="M120" i="14" l="1"/>
  <c r="L120" i="14"/>
  <c r="J121" i="14" l="1"/>
  <c r="O121" i="14"/>
  <c r="H121" i="14"/>
  <c r="J122" i="14" l="1"/>
  <c r="L121" i="14"/>
  <c r="M121" i="14"/>
  <c r="O122" i="14" l="1"/>
  <c r="H122" i="14"/>
  <c r="M122" i="14" l="1"/>
  <c r="L122" i="14"/>
  <c r="O123" i="14" l="1"/>
  <c r="H123" i="14"/>
  <c r="M123" i="14" l="1"/>
  <c r="L123" i="14"/>
  <c r="O124" i="14" l="1"/>
  <c r="H124" i="14"/>
  <c r="L124" i="14" l="1"/>
  <c r="M124" i="14"/>
  <c r="O125" i="14" l="1"/>
  <c r="H125" i="14"/>
  <c r="L125" i="14" l="1"/>
  <c r="M125" i="14"/>
  <c r="J123" i="14" l="1"/>
  <c r="J124" i="14" l="1"/>
  <c r="J125" i="14" l="1"/>
  <c r="O126" i="14" l="1"/>
  <c r="H126" i="14"/>
  <c r="L126" i="14" l="1"/>
  <c r="M126" i="14"/>
  <c r="H127" i="14" l="1"/>
  <c r="O127" i="14"/>
  <c r="J126" i="14"/>
  <c r="M127" i="14" l="1"/>
  <c r="L127" i="14"/>
  <c r="J127" i="14"/>
  <c r="J128" i="14" l="1"/>
  <c r="H128" i="14"/>
  <c r="O128" i="14"/>
  <c r="J129" i="14" l="1"/>
  <c r="M128" i="14" l="1"/>
  <c r="L128" i="14"/>
  <c r="O129" i="14" l="1"/>
  <c r="H129" i="14"/>
  <c r="L129" i="14" l="1"/>
  <c r="M129" i="14"/>
  <c r="H130" i="14" l="1"/>
  <c r="O130" i="14" l="1"/>
  <c r="M130" i="14" l="1"/>
  <c r="L130" i="14"/>
  <c r="O131" i="14" l="1"/>
  <c r="H131" i="14"/>
  <c r="M131" i="14" l="1"/>
  <c r="L131" i="14"/>
  <c r="H132" i="14" l="1"/>
  <c r="O132" i="14"/>
  <c r="M132" i="14" l="1"/>
  <c r="L132" i="14"/>
  <c r="O133" i="14" l="1"/>
  <c r="H133" i="14"/>
  <c r="M133" i="14" l="1"/>
  <c r="L133" i="14"/>
  <c r="H134" i="14" l="1"/>
  <c r="O134" i="14"/>
  <c r="L134" i="14" l="1"/>
  <c r="M134" i="14"/>
  <c r="O135" i="14" l="1"/>
  <c r="H135" i="14"/>
  <c r="L135" i="14" l="1"/>
  <c r="M135" i="14"/>
  <c r="O136" i="14" l="1"/>
  <c r="H136" i="14"/>
  <c r="M136" i="14" l="1"/>
  <c r="L136" i="14"/>
  <c r="H137" i="14" l="1"/>
  <c r="O137" i="14"/>
  <c r="M137" i="14" l="1"/>
  <c r="L137" i="14"/>
  <c r="H138" i="14" l="1"/>
  <c r="O138" i="14"/>
  <c r="M138" i="14" l="1"/>
  <c r="L138" i="14"/>
  <c r="O139" i="14" l="1"/>
  <c r="H139" i="14"/>
  <c r="M139" i="14" l="1"/>
  <c r="L139" i="14"/>
  <c r="H140" i="14" l="1"/>
  <c r="O140" i="14"/>
  <c r="L140" i="14" l="1"/>
  <c r="M140" i="14"/>
  <c r="O141" i="14" l="1"/>
  <c r="H141" i="14"/>
  <c r="L141" i="14" l="1"/>
  <c r="M141" i="14"/>
  <c r="H142" i="14" l="1"/>
  <c r="O142" i="14"/>
  <c r="M142" i="14" l="1"/>
  <c r="L142" i="14"/>
  <c r="O143" i="14" l="1"/>
  <c r="H143" i="14"/>
  <c r="L143" i="14" l="1"/>
  <c r="M143" i="14"/>
  <c r="O144" i="14" l="1"/>
  <c r="H144" i="14"/>
  <c r="L144" i="14" l="1"/>
  <c r="M144" i="14"/>
  <c r="H145" i="14" l="1"/>
  <c r="O145" i="14"/>
  <c r="M145" i="14" l="1"/>
  <c r="L145" i="14"/>
  <c r="H146" i="14" l="1"/>
  <c r="O146" i="14"/>
  <c r="L146" i="14" l="1"/>
  <c r="M146" i="14"/>
  <c r="O147" i="14" l="1"/>
  <c r="H147" i="14"/>
  <c r="M147" i="14" l="1"/>
  <c r="L147" i="14"/>
  <c r="H148" i="14" l="1"/>
  <c r="O148" i="14"/>
  <c r="L148" i="14" l="1"/>
  <c r="M148" i="14"/>
  <c r="O149" i="14" l="1"/>
  <c r="H149" i="14"/>
  <c r="M149" i="14" l="1"/>
  <c r="L149" i="14"/>
  <c r="H150" i="14" l="1"/>
  <c r="O150" i="14"/>
  <c r="L150" i="14" l="1"/>
  <c r="M150" i="14"/>
  <c r="O151" i="14" l="1"/>
  <c r="H151" i="14"/>
  <c r="M151" i="14" l="1"/>
  <c r="L151" i="14"/>
  <c r="O152" i="14" l="1"/>
  <c r="H152" i="14"/>
  <c r="L152" i="14" l="1"/>
  <c r="M152" i="14"/>
  <c r="H153" i="14" l="1"/>
  <c r="O153" i="14"/>
  <c r="M153" i="14" l="1"/>
  <c r="L153" i="14"/>
  <c r="H154" i="14" l="1"/>
  <c r="O154" i="14"/>
  <c r="M154" i="14" l="1"/>
  <c r="L154" i="14"/>
  <c r="O155" i="14" l="1"/>
  <c r="H155" i="14"/>
  <c r="L155" i="14" l="1"/>
  <c r="M155" i="14"/>
  <c r="H156" i="14" l="1"/>
  <c r="O156" i="14"/>
  <c r="L156" i="14" l="1"/>
  <c r="M156" i="14"/>
  <c r="O157" i="14" l="1"/>
  <c r="H157" i="14"/>
  <c r="L157" i="14" l="1"/>
  <c r="M157" i="14"/>
  <c r="H158" i="14" l="1"/>
  <c r="O158" i="14"/>
  <c r="M158" i="14" l="1"/>
  <c r="L158" i="14"/>
  <c r="O159" i="14" l="1"/>
  <c r="H159" i="14"/>
  <c r="M159" i="14" l="1"/>
  <c r="L159" i="14"/>
  <c r="O160" i="14" l="1"/>
  <c r="H160" i="14"/>
  <c r="L160" i="14" l="1"/>
  <c r="M160" i="14"/>
  <c r="H161" i="14" l="1"/>
  <c r="O161" i="14"/>
  <c r="M161" i="14" l="1"/>
  <c r="L161" i="14"/>
  <c r="H162" i="14" l="1"/>
  <c r="O162" i="14"/>
  <c r="M162" i="14" l="1"/>
  <c r="L162" i="14"/>
  <c r="O163" i="14" l="1"/>
  <c r="H163" i="14"/>
  <c r="M163" i="14" l="1"/>
  <c r="L163" i="14"/>
  <c r="H164" i="14" l="1"/>
  <c r="O164" i="14"/>
  <c r="L164" i="14" l="1"/>
  <c r="M164" i="14"/>
  <c r="O165" i="14" l="1"/>
  <c r="H165" i="14"/>
  <c r="L165" i="14" l="1"/>
  <c r="M165" i="14"/>
  <c r="H166" i="14" l="1"/>
  <c r="O166" i="14"/>
  <c r="M166" i="14" l="1"/>
  <c r="L166" i="14"/>
  <c r="O167" i="14" l="1"/>
  <c r="H167" i="14"/>
  <c r="M167" i="14" l="1"/>
  <c r="L167" i="14"/>
  <c r="O168" i="14" l="1"/>
  <c r="H168" i="14"/>
  <c r="M168" i="14" l="1"/>
  <c r="L168" i="14"/>
  <c r="H169" i="14" l="1"/>
  <c r="O169" i="14"/>
  <c r="L169" i="14" l="1"/>
  <c r="M169" i="14"/>
  <c r="H170" i="14" l="1"/>
  <c r="O170" i="14"/>
  <c r="M170" i="14" l="1"/>
  <c r="L170" i="14"/>
  <c r="O171" i="14" l="1"/>
  <c r="H171" i="14"/>
  <c r="M171" i="14" l="1"/>
  <c r="L171" i="14"/>
  <c r="H172" i="14" l="1"/>
  <c r="O172" i="14"/>
  <c r="L172" i="14" l="1"/>
  <c r="M172" i="14"/>
  <c r="O173" i="14" l="1"/>
  <c r="H173" i="14"/>
  <c r="L173" i="14" l="1"/>
  <c r="M173" i="14"/>
  <c r="O174" i="14" l="1"/>
  <c r="H174" i="14"/>
  <c r="M174" i="14" l="1"/>
  <c r="L174" i="14"/>
  <c r="O175" i="14" l="1"/>
  <c r="H175" i="14"/>
  <c r="M175" i="14" l="1"/>
  <c r="L175" i="14"/>
  <c r="H176" i="14" l="1"/>
  <c r="O176" i="14"/>
  <c r="M176" i="14" l="1"/>
  <c r="L176" i="14"/>
  <c r="O177" i="14" l="1"/>
  <c r="H177" i="14"/>
  <c r="L177" i="14" l="1"/>
  <c r="M177" i="14"/>
  <c r="H178" i="14" l="1"/>
  <c r="O178" i="14"/>
  <c r="M178" i="14" l="1"/>
  <c r="L178" i="14"/>
  <c r="O179" i="14" l="1"/>
  <c r="H179" i="14"/>
  <c r="M179" i="14" l="1"/>
  <c r="L179" i="14"/>
  <c r="H180" i="14" l="1"/>
  <c r="O180" i="14"/>
  <c r="L180" i="14" l="1"/>
  <c r="M180" i="14"/>
  <c r="O181" i="14" l="1"/>
  <c r="H181" i="14"/>
  <c r="L181" i="14" l="1"/>
  <c r="M181" i="14"/>
  <c r="H182" i="14" l="1"/>
  <c r="O182" i="14"/>
  <c r="L182" i="14" l="1"/>
  <c r="M182" i="14"/>
  <c r="O183" i="14" l="1"/>
  <c r="H183" i="14"/>
  <c r="L183" i="14" l="1"/>
  <c r="M183" i="14"/>
  <c r="H184" i="14" l="1"/>
  <c r="O184" i="14"/>
  <c r="L184" i="14" l="1"/>
  <c r="M184" i="14"/>
  <c r="O185" i="14" l="1"/>
  <c r="H185" i="14"/>
  <c r="L185" i="14" l="1"/>
  <c r="M185" i="14"/>
  <c r="H186" i="14" l="1"/>
  <c r="O186" i="14"/>
  <c r="M186" i="14" l="1"/>
  <c r="L186" i="14"/>
  <c r="O187" i="14" l="1"/>
  <c r="H187" i="14"/>
  <c r="L187" i="14" l="1"/>
  <c r="M187" i="14"/>
  <c r="H188" i="14" l="1"/>
  <c r="O188" i="14"/>
  <c r="L188" i="14" l="1"/>
  <c r="M188" i="14"/>
  <c r="O189" i="14" l="1"/>
  <c r="H189" i="14"/>
  <c r="L189" i="14" l="1"/>
  <c r="M189" i="14"/>
  <c r="H190" i="14" l="1"/>
  <c r="O190" i="14"/>
  <c r="L190" i="14" l="1"/>
  <c r="M190" i="14"/>
  <c r="O191" i="14" l="1"/>
  <c r="H191" i="14"/>
  <c r="M191" i="14" l="1"/>
  <c r="L191" i="14"/>
  <c r="H192" i="14" l="1"/>
  <c r="O192" i="14"/>
  <c r="M192" i="14" l="1"/>
  <c r="L192" i="14"/>
  <c r="H193" i="14" l="1"/>
  <c r="O193" i="14"/>
  <c r="L193" i="14" l="1"/>
  <c r="M193" i="14"/>
  <c r="H194" i="14" l="1"/>
  <c r="O194" i="14"/>
  <c r="M194" i="14" l="1"/>
  <c r="L194" i="14"/>
  <c r="O195" i="14" l="1"/>
  <c r="H195" i="14"/>
  <c r="M195" i="14" l="1"/>
  <c r="L195" i="14"/>
  <c r="O196" i="14" l="1"/>
  <c r="H196" i="14"/>
  <c r="M196" i="14" l="1"/>
  <c r="L196" i="14"/>
  <c r="O197" i="14" l="1"/>
  <c r="H197" i="14"/>
  <c r="M197" i="14" l="1"/>
  <c r="L197" i="14"/>
  <c r="O198" i="14" l="1"/>
  <c r="H198" i="14"/>
  <c r="L198" i="14" l="1"/>
  <c r="M198" i="14"/>
  <c r="O199" i="14" l="1"/>
  <c r="H199" i="14"/>
  <c r="M199" i="14" l="1"/>
  <c r="L199" i="14"/>
  <c r="H200" i="14" l="1"/>
  <c r="O200" i="14"/>
  <c r="L200" i="14" l="1"/>
  <c r="M200" i="14"/>
  <c r="O201" i="14" l="1"/>
  <c r="H201" i="14"/>
  <c r="M201" i="14" l="1"/>
  <c r="L201" i="14"/>
  <c r="H202" i="14" l="1"/>
  <c r="O202" i="14"/>
  <c r="M202" i="14" l="1"/>
  <c r="L202" i="14"/>
  <c r="O203" i="14" l="1"/>
  <c r="H203" i="14"/>
  <c r="L203" i="14" l="1"/>
  <c r="M203" i="14"/>
  <c r="H204" i="14" l="1"/>
  <c r="O204" i="14"/>
  <c r="L204" i="14" l="1"/>
  <c r="M204" i="14"/>
  <c r="H205" i="14" l="1"/>
  <c r="O205" i="14"/>
  <c r="L205" i="14" l="1"/>
  <c r="M205" i="14"/>
  <c r="O206" i="14" l="1"/>
  <c r="H206" i="14"/>
  <c r="L206" i="14" l="1"/>
  <c r="M206" i="14"/>
  <c r="O207" i="14" l="1"/>
  <c r="H207" i="14"/>
  <c r="L207" i="14" l="1"/>
  <c r="M207" i="14"/>
  <c r="O208" i="14" l="1"/>
  <c r="H208" i="14"/>
  <c r="M208" i="14" l="1"/>
  <c r="L208" i="14"/>
  <c r="O209" i="14" l="1"/>
  <c r="H209" i="14"/>
  <c r="L209" i="14" l="1"/>
  <c r="M209" i="14"/>
  <c r="O210" i="14" l="1"/>
  <c r="H210" i="14"/>
  <c r="L210" i="14" l="1"/>
  <c r="M210" i="14"/>
  <c r="H211" i="14" l="1"/>
  <c r="O211" i="14"/>
  <c r="L211" i="14" l="1"/>
  <c r="M211" i="14" l="1"/>
  <c r="H212" i="14" l="1"/>
  <c r="O212" i="14"/>
  <c r="L212" i="14" l="1"/>
  <c r="M212" i="14"/>
  <c r="O213" i="14" l="1"/>
  <c r="H213" i="14"/>
  <c r="L213" i="14" l="1"/>
  <c r="M213" i="14"/>
  <c r="H214" i="14" l="1"/>
  <c r="O214" i="14"/>
  <c r="M214" i="14" l="1"/>
  <c r="L214" i="14"/>
  <c r="H215" i="14" l="1"/>
  <c r="O215" i="14"/>
  <c r="M215" i="14" l="1"/>
  <c r="L215" i="14"/>
  <c r="O216" i="14" l="1"/>
  <c r="H216" i="14" l="1"/>
  <c r="L216" i="14" l="1"/>
  <c r="M216" i="14"/>
  <c r="O217" i="14" l="1"/>
  <c r="H217" i="14" l="1"/>
  <c r="L217" i="14" l="1"/>
  <c r="M217" i="14"/>
  <c r="O218" i="14" l="1"/>
  <c r="H218" i="14" l="1"/>
  <c r="L218" i="14" l="1"/>
  <c r="M218" i="14"/>
  <c r="O219" i="14" l="1"/>
  <c r="H219" i="14" l="1"/>
  <c r="L219" i="14" l="1"/>
  <c r="M219" i="14"/>
  <c r="O220" i="14"/>
  <c r="H220" i="14" l="1"/>
  <c r="L220" i="14"/>
  <c r="M220" i="14" l="1"/>
  <c r="J130" i="14"/>
  <c r="J131" i="14" l="1"/>
  <c r="J132" i="14" l="1"/>
  <c r="J133" i="14" l="1"/>
  <c r="J134" i="14" l="1"/>
  <c r="J135" i="14" l="1"/>
  <c r="J136" i="14" l="1"/>
  <c r="J137" i="14" l="1"/>
  <c r="J138" i="14" l="1"/>
  <c r="J139" i="14" l="1"/>
  <c r="J140" i="14" l="1"/>
  <c r="J141" i="14" l="1"/>
  <c r="J142" i="14" l="1"/>
  <c r="J143" i="14" l="1"/>
  <c r="J144" i="14" l="1"/>
  <c r="J145" i="14" l="1"/>
  <c r="J146" i="14" l="1"/>
  <c r="J147" i="14" l="1"/>
  <c r="J148" i="14" l="1"/>
  <c r="J149" i="14" l="1"/>
  <c r="J150" i="14" l="1"/>
  <c r="J151" i="14" l="1"/>
  <c r="J152" i="14" l="1"/>
  <c r="J153" i="14" l="1"/>
  <c r="J154" i="14" l="1"/>
  <c r="J155" i="14" l="1"/>
  <c r="J156" i="14" l="1"/>
  <c r="J157" i="14" l="1"/>
  <c r="J158" i="14" l="1"/>
  <c r="J159" i="14" l="1"/>
  <c r="J160" i="14" l="1"/>
  <c r="J161" i="14" l="1"/>
  <c r="J162" i="14" l="1"/>
  <c r="J163" i="14" l="1"/>
  <c r="J164" i="14" l="1"/>
  <c r="J165" i="14" l="1"/>
  <c r="J166" i="14" l="1"/>
  <c r="J167" i="14" l="1"/>
  <c r="J168" i="14" l="1"/>
  <c r="J169" i="14" l="1"/>
  <c r="J170" i="14" l="1"/>
  <c r="J171" i="14" l="1"/>
  <c r="J172" i="14" l="1"/>
  <c r="J173" i="14" l="1"/>
  <c r="J174" i="14" l="1"/>
  <c r="J175" i="14" l="1"/>
  <c r="J176" i="14" l="1"/>
  <c r="J177" i="14" l="1"/>
  <c r="J178" i="14" l="1"/>
  <c r="J179" i="14" l="1"/>
  <c r="J180" i="14" l="1"/>
  <c r="J181" i="14" l="1"/>
  <c r="J182" i="14" l="1"/>
  <c r="J183" i="14" l="1"/>
  <c r="J184" i="14" l="1"/>
  <c r="J185" i="14" l="1"/>
  <c r="J186" i="14" l="1"/>
  <c r="J187" i="14" l="1"/>
  <c r="J188" i="14" l="1"/>
  <c r="J189" i="14" l="1"/>
  <c r="J190" i="14" l="1"/>
  <c r="J191" i="14" l="1"/>
  <c r="J192" i="14" l="1"/>
  <c r="J193" i="14" l="1"/>
  <c r="J194" i="14" l="1"/>
  <c r="J195" i="14" l="1"/>
  <c r="J196" i="14" l="1"/>
  <c r="J197" i="14" l="1"/>
  <c r="J198" i="14" l="1"/>
  <c r="J199" i="14" l="1"/>
  <c r="J200" i="14" l="1"/>
  <c r="J201" i="14" l="1"/>
  <c r="J202" i="14" l="1"/>
  <c r="J203" i="14" l="1"/>
  <c r="J204" i="14" l="1"/>
  <c r="J205" i="14" l="1"/>
  <c r="J206" i="14" l="1"/>
  <c r="J207" i="14" l="1"/>
  <c r="J208" i="14" l="1"/>
  <c r="J209" i="14" l="1"/>
  <c r="J210" i="14" l="1"/>
  <c r="J211" i="14" l="1"/>
  <c r="J212" i="14" l="1"/>
  <c r="J213" i="14" l="1"/>
  <c r="J214" i="14" l="1"/>
  <c r="J215" i="14" l="1"/>
  <c r="J216" i="14" l="1"/>
  <c r="J217" i="14" l="1"/>
  <c r="J218" i="14" l="1"/>
  <c r="J219" i="14" l="1"/>
  <c r="J220" i="14" l="1"/>
  <c r="O221" i="14" l="1"/>
  <c r="H221" i="14"/>
  <c r="M221" i="14" l="1"/>
  <c r="L221" i="14"/>
  <c r="O222" i="14" l="1"/>
  <c r="H222" i="14" l="1"/>
  <c r="M222" i="14" l="1"/>
  <c r="L222" i="14"/>
  <c r="O223" i="14" l="1"/>
  <c r="H223" i="14" l="1"/>
  <c r="L223" i="14" l="1"/>
  <c r="M223" i="14"/>
  <c r="O224" i="14"/>
  <c r="H224" i="14" l="1"/>
  <c r="M224" i="14" l="1"/>
  <c r="L224" i="14"/>
  <c r="O225" i="14" l="1"/>
  <c r="H225" i="14" l="1"/>
  <c r="M225" i="14" l="1"/>
  <c r="L225" i="14"/>
  <c r="O226" i="14" l="1"/>
  <c r="H226" i="14" l="1"/>
  <c r="M226" i="14" l="1"/>
  <c r="L226" i="14"/>
  <c r="O227" i="14" l="1"/>
  <c r="H227" i="14" l="1"/>
  <c r="M227" i="14" l="1"/>
  <c r="L227" i="14"/>
  <c r="O228" i="14" l="1"/>
  <c r="H228" i="14" l="1"/>
  <c r="M228" i="14" l="1"/>
  <c r="L228" i="14"/>
  <c r="O229" i="14" l="1"/>
  <c r="H229" i="14" l="1"/>
  <c r="L229" i="14" l="1"/>
  <c r="M229" i="14"/>
  <c r="O230" i="14" l="1"/>
  <c r="H230" i="14" l="1"/>
  <c r="M230" i="14" l="1"/>
  <c r="L230" i="14"/>
  <c r="O231" i="14"/>
  <c r="H231" i="14" l="1"/>
  <c r="L231" i="14" l="1"/>
  <c r="M231" i="14"/>
  <c r="O232" i="14" l="1"/>
  <c r="H232" i="14" l="1"/>
  <c r="L232" i="14" l="1"/>
  <c r="M232" i="14"/>
  <c r="O233" i="14" l="1"/>
  <c r="H233" i="14"/>
  <c r="L233" i="14" l="1"/>
  <c r="M233" i="14"/>
  <c r="O234" i="14"/>
  <c r="H234" i="14"/>
  <c r="B33" i="14"/>
  <c r="M234" i="14" l="1"/>
  <c r="L234" i="14"/>
  <c r="O235" i="14" l="1"/>
  <c r="B34" i="14"/>
  <c r="H235" i="14"/>
  <c r="L235" i="14" l="1"/>
  <c r="M235" i="14"/>
  <c r="O236" i="14" l="1"/>
  <c r="H236" i="14" l="1"/>
  <c r="L236" i="14" l="1"/>
  <c r="M236" i="14"/>
  <c r="O237" i="14"/>
  <c r="H237" i="14" l="1"/>
  <c r="L237" i="14" l="1"/>
  <c r="M237" i="14"/>
  <c r="O238" i="14" l="1"/>
  <c r="H238" i="14" l="1"/>
  <c r="M238" i="14" l="1"/>
  <c r="L238" i="14"/>
  <c r="O239" i="14" l="1"/>
  <c r="H239" i="14" l="1"/>
  <c r="L239" i="14" l="1"/>
  <c r="M239" i="14"/>
  <c r="O240" i="14" l="1"/>
  <c r="H240" i="14" l="1"/>
  <c r="L240" i="14" l="1"/>
  <c r="M240" i="14"/>
  <c r="O241" i="14" l="1"/>
  <c r="H241" i="14" l="1"/>
  <c r="M241" i="14" l="1"/>
  <c r="L241" i="14"/>
  <c r="O242" i="14"/>
  <c r="J221" i="14"/>
  <c r="H242" i="14" l="1"/>
  <c r="J222" i="14"/>
  <c r="J223" i="14" l="1"/>
  <c r="M242" i="14"/>
  <c r="L242" i="14"/>
  <c r="O243" i="14" l="1"/>
  <c r="H243" i="14" l="1"/>
  <c r="J224" i="14"/>
  <c r="L243" i="14" l="1"/>
  <c r="M243" i="14"/>
  <c r="J225" i="14"/>
  <c r="O244" i="14" l="1"/>
  <c r="H244" i="14" l="1"/>
  <c r="M244" i="14" l="1"/>
  <c r="L244" i="14"/>
  <c r="O245" i="14" l="1"/>
  <c r="H245" i="14" l="1"/>
  <c r="L245" i="14" l="1"/>
  <c r="M245" i="14"/>
  <c r="O246" i="14" l="1"/>
  <c r="H246" i="14" l="1"/>
  <c r="M246" i="14" l="1"/>
  <c r="L246" i="14"/>
  <c r="O247" i="14" l="1"/>
  <c r="H247" i="14" l="1"/>
  <c r="M247" i="14" l="1"/>
  <c r="L247" i="14"/>
  <c r="O248" i="14" l="1"/>
  <c r="H248" i="14" l="1"/>
  <c r="M248" i="14" l="1"/>
  <c r="L248" i="14"/>
  <c r="O249" i="14" l="1"/>
  <c r="H249" i="14" l="1"/>
  <c r="L249" i="14" l="1"/>
  <c r="M249" i="14"/>
  <c r="O250" i="14" l="1"/>
  <c r="H250" i="14" l="1"/>
  <c r="L250" i="14" l="1"/>
  <c r="M250" i="14"/>
  <c r="O251" i="14" l="1"/>
  <c r="H251" i="14" l="1"/>
  <c r="M251" i="14" l="1"/>
  <c r="L251" i="14"/>
  <c r="O252" i="14" l="1"/>
  <c r="H252" i="14" l="1"/>
  <c r="M252" i="14" l="1"/>
  <c r="L252" i="14"/>
  <c r="O253" i="14" l="1"/>
  <c r="H253" i="14" l="1"/>
  <c r="L253" i="14" l="1"/>
  <c r="M253" i="14"/>
  <c r="O254" i="14" l="1"/>
  <c r="H254" i="14" l="1"/>
  <c r="M254" i="14" l="1"/>
  <c r="L254" i="14"/>
  <c r="O255" i="14" l="1"/>
  <c r="H255" i="14" l="1"/>
  <c r="L255" i="14" l="1"/>
  <c r="M255" i="14"/>
  <c r="O256" i="14" l="1"/>
  <c r="H256" i="14" l="1"/>
  <c r="M256" i="14" l="1"/>
  <c r="L256" i="14"/>
  <c r="O257" i="14" l="1"/>
  <c r="H257" i="14" l="1"/>
  <c r="L257" i="14" l="1"/>
  <c r="M257" i="14"/>
  <c r="O258" i="14" l="1"/>
  <c r="H258" i="14"/>
  <c r="L258" i="14" l="1"/>
  <c r="M258" i="14"/>
  <c r="J226" i="14" l="1"/>
  <c r="J227" i="14" l="1"/>
  <c r="J228" i="14" l="1"/>
  <c r="J229" i="14" l="1"/>
  <c r="J230" i="14" l="1"/>
  <c r="J231" i="14" l="1"/>
  <c r="J232" i="14" l="1"/>
  <c r="J233" i="14" l="1"/>
  <c r="J234" i="14" l="1"/>
  <c r="J235" i="14" l="1"/>
  <c r="J236" i="14" l="1"/>
  <c r="J237" i="14" l="1"/>
  <c r="J238" i="14" l="1"/>
  <c r="J239" i="14" l="1"/>
  <c r="J240" i="14" l="1"/>
  <c r="J241" i="14" l="1"/>
  <c r="J242" i="14" l="1"/>
  <c r="J243" i="14" l="1"/>
  <c r="J244" i="14" l="1"/>
  <c r="J245" i="14" l="1"/>
  <c r="J246" i="14" l="1"/>
  <c r="J247" i="14" l="1"/>
  <c r="J248" i="14" l="1"/>
  <c r="J249" i="14" l="1"/>
  <c r="J250" i="14" l="1"/>
  <c r="J251" i="14" l="1"/>
  <c r="J252" i="14" l="1"/>
  <c r="J253" i="14" l="1"/>
  <c r="J254" i="14" l="1"/>
  <c r="J255" i="14" l="1"/>
  <c r="J256" i="14" l="1"/>
  <c r="J257" i="14" l="1"/>
  <c r="J258" i="14" l="1"/>
  <c r="O259" i="14" l="1"/>
  <c r="H259" i="14"/>
  <c r="M259" i="14" l="1"/>
  <c r="L259" i="14" l="1"/>
  <c r="J259" i="14" l="1"/>
  <c r="J260" i="14" s="1"/>
  <c r="J261" i="14" s="1"/>
  <c r="O260" i="14"/>
  <c r="I260" i="14"/>
  <c r="M260" i="14" l="1"/>
  <c r="L260" i="14"/>
  <c r="H260" i="14"/>
  <c r="O261" i="14" l="1"/>
  <c r="I261" i="14"/>
  <c r="M261" i="14" l="1"/>
  <c r="L261" i="14"/>
  <c r="H261" i="14"/>
  <c r="I262" i="14" l="1"/>
  <c r="O262" i="14"/>
  <c r="L262" i="14" l="1"/>
  <c r="M262" i="14"/>
  <c r="I263" i="14" l="1"/>
  <c r="O263" i="14"/>
  <c r="L263" i="14" l="1"/>
  <c r="M263" i="14"/>
  <c r="H262" i="14" l="1"/>
  <c r="H263" i="14" l="1"/>
  <c r="B35" i="14" l="1"/>
  <c r="O264" i="14"/>
  <c r="I264" i="14"/>
  <c r="L264" i="14" l="1"/>
  <c r="M264" i="14"/>
  <c r="H264" i="14"/>
  <c r="B36" i="14" l="1"/>
  <c r="O265" i="14"/>
  <c r="I265" i="14"/>
  <c r="M265" i="14" l="1"/>
  <c r="L265" i="14"/>
  <c r="H265" i="14"/>
  <c r="B37" i="14" l="1"/>
  <c r="O266" i="14"/>
  <c r="I266" i="14"/>
  <c r="H266" i="14" l="1"/>
  <c r="L266" i="14"/>
  <c r="M266" i="14"/>
  <c r="B38" i="14" l="1"/>
  <c r="O267" i="14"/>
  <c r="I267" i="14"/>
  <c r="L267" i="14" l="1"/>
  <c r="M267" i="14"/>
  <c r="H267" i="14"/>
  <c r="B39" i="14" l="1"/>
  <c r="B51" i="14" s="1"/>
  <c r="O268" i="14"/>
  <c r="I268" i="14"/>
  <c r="L268" i="14" l="1"/>
  <c r="M268" i="14"/>
  <c r="B53" i="14"/>
  <c r="B56" i="14"/>
  <c r="B55" i="14"/>
  <c r="B52" i="14"/>
  <c r="B57" i="14"/>
  <c r="H268" i="14"/>
  <c r="B54" i="14"/>
  <c r="O269" i="14" l="1"/>
  <c r="I269" i="14"/>
  <c r="I270" i="14" l="1"/>
  <c r="L269" i="14"/>
  <c r="M269" i="14"/>
  <c r="H269" i="14"/>
  <c r="M270" i="14" l="1"/>
  <c r="L270" i="14"/>
  <c r="J262" i="14"/>
  <c r="O270" i="14"/>
  <c r="H270" i="14" l="1"/>
  <c r="J263" i="14"/>
  <c r="O271" i="14"/>
  <c r="H271" i="14" l="1"/>
  <c r="J264" i="14"/>
  <c r="J265" i="14" l="1"/>
  <c r="J266" i="14" l="1"/>
  <c r="J267" i="14" l="1"/>
  <c r="J268" i="14" l="1"/>
  <c r="J269" i="14" l="1"/>
  <c r="J270" i="14" l="1"/>
  <c r="J271" i="14" l="1"/>
  <c r="I271" i="14"/>
  <c r="I272" i="14" s="1"/>
  <c r="O272" i="14"/>
  <c r="M271" i="14" l="1"/>
  <c r="L272" i="14"/>
  <c r="M272" i="14"/>
  <c r="L271" i="14"/>
  <c r="O273" i="14"/>
  <c r="H272" i="14"/>
  <c r="J272" i="14"/>
  <c r="I273" i="14" l="1"/>
  <c r="M273" i="14" s="1"/>
  <c r="J273" i="14"/>
  <c r="L273" i="14" l="1"/>
  <c r="H273" i="14"/>
  <c r="O274" i="14"/>
  <c r="I274" i="14"/>
  <c r="I275" i="14" s="1"/>
  <c r="H274" i="14"/>
  <c r="J274" i="14"/>
  <c r="M274" i="14" l="1"/>
  <c r="L274" i="14"/>
  <c r="O275" i="14"/>
  <c r="O276" i="14"/>
  <c r="J275" i="14"/>
  <c r="I276" i="14"/>
  <c r="L275" i="14"/>
  <c r="M275" i="14"/>
  <c r="H275" i="14" l="1"/>
  <c r="O277" i="14"/>
  <c r="J276" i="14"/>
  <c r="I277" i="14"/>
  <c r="M276" i="14"/>
  <c r="L276" i="14"/>
  <c r="H276" i="14"/>
  <c r="O278" i="14" l="1"/>
  <c r="I278" i="14"/>
  <c r="L277" i="14"/>
  <c r="M277" i="14"/>
  <c r="J277" i="14"/>
  <c r="H277" i="14"/>
  <c r="H278" i="14" l="1"/>
  <c r="O279" i="14"/>
  <c r="I279" i="14"/>
  <c r="L278" i="14"/>
  <c r="M278" i="14"/>
  <c r="O280" i="14" l="1"/>
  <c r="J278" i="14"/>
  <c r="I280" i="14"/>
  <c r="M279" i="14"/>
  <c r="L279" i="14"/>
  <c r="H279" i="14"/>
  <c r="M280" i="14" l="1"/>
  <c r="L280" i="14"/>
  <c r="H280" i="14"/>
  <c r="J279" i="14"/>
  <c r="J280" i="14" l="1"/>
  <c r="O281" i="14"/>
  <c r="I281" i="14"/>
  <c r="H281" i="14" l="1"/>
  <c r="M281" i="14"/>
  <c r="L281" i="14"/>
  <c r="J281" i="14"/>
  <c r="O282" i="14" l="1"/>
  <c r="I282" i="14"/>
  <c r="J282" i="14"/>
  <c r="M282" i="14" l="1"/>
  <c r="L282" i="14"/>
  <c r="H282" i="14"/>
  <c r="J283" i="14"/>
  <c r="O283" i="14" l="1"/>
  <c r="I283" i="14"/>
  <c r="J284" i="14"/>
  <c r="J285" i="14" l="1"/>
  <c r="L283" i="14"/>
  <c r="M283" i="14"/>
  <c r="H283" i="14"/>
  <c r="I284" i="14" l="1"/>
  <c r="O284" i="14"/>
  <c r="J286" i="14"/>
  <c r="H284" i="14" l="1"/>
  <c r="I285" i="14"/>
  <c r="M284" i="14"/>
  <c r="L284" i="14"/>
  <c r="O285" i="14"/>
  <c r="J287" i="14"/>
  <c r="O286" i="14" l="1"/>
  <c r="I286" i="14"/>
  <c r="L285" i="14"/>
  <c r="M285" i="14"/>
  <c r="J288" i="14"/>
  <c r="H285" i="14"/>
  <c r="H286" i="14" l="1"/>
  <c r="O287" i="14"/>
  <c r="J289" i="14"/>
  <c r="I287" i="14"/>
  <c r="M286" i="14"/>
  <c r="L286" i="14"/>
  <c r="O288" i="14" l="1"/>
  <c r="I288" i="14"/>
  <c r="M287" i="14"/>
  <c r="L287" i="14"/>
  <c r="J290" i="14"/>
  <c r="H287" i="14"/>
  <c r="O289" i="14" l="1"/>
  <c r="I289" i="14"/>
  <c r="L288" i="14"/>
  <c r="M288" i="14"/>
  <c r="H288" i="14"/>
  <c r="M289" i="14" l="1"/>
  <c r="L289" i="14"/>
  <c r="H289" i="14"/>
  <c r="O290" i="14" l="1"/>
  <c r="I290" i="14"/>
  <c r="L290" i="14" l="1"/>
  <c r="M290" i="14"/>
  <c r="H290" i="14"/>
  <c r="J291" i="14" l="1"/>
  <c r="J292" i="14" l="1"/>
  <c r="E291" i="14"/>
  <c r="O291" i="14"/>
  <c r="I291" i="14"/>
  <c r="H291" i="14" l="1"/>
  <c r="J293" i="14"/>
  <c r="L291" i="14"/>
  <c r="M291" i="14"/>
  <c r="E292" i="14" l="1"/>
  <c r="O292" i="14"/>
  <c r="I292" i="14"/>
  <c r="J294" i="14"/>
  <c r="I293" i="14" l="1"/>
  <c r="L292" i="14"/>
  <c r="M292" i="14"/>
  <c r="H292" i="14"/>
  <c r="I294" i="14" l="1"/>
  <c r="L293" i="14"/>
  <c r="M293" i="14"/>
  <c r="E293" i="14"/>
  <c r="O293" i="14"/>
  <c r="H293" i="14" l="1"/>
  <c r="E294" i="14"/>
  <c r="O294" i="14"/>
  <c r="M294" i="14"/>
  <c r="L294" i="14"/>
  <c r="E295" i="14" l="1"/>
  <c r="O295" i="14"/>
  <c r="I295" i="14"/>
  <c r="H294" i="14"/>
  <c r="J295" i="14" l="1"/>
  <c r="J296" i="14" s="1"/>
  <c r="M295" i="14"/>
  <c r="L295" i="14"/>
  <c r="H295" i="14"/>
  <c r="J297" i="14" l="1"/>
  <c r="E296" i="14"/>
  <c r="O296" i="14"/>
  <c r="I296" i="14"/>
  <c r="L296" i="14" l="1"/>
  <c r="M296" i="14"/>
  <c r="H296" i="14"/>
  <c r="I297" i="14"/>
  <c r="J298" i="14" l="1"/>
  <c r="J299" i="14"/>
  <c r="L297" i="14"/>
  <c r="M297" i="14"/>
  <c r="E297" i="14"/>
  <c r="O297" i="14"/>
  <c r="J300" i="14" l="1"/>
  <c r="H297" i="14"/>
  <c r="I298" i="14"/>
  <c r="E298" i="14"/>
  <c r="O298" i="14"/>
  <c r="J301" i="14" l="1"/>
  <c r="H298" i="14"/>
  <c r="L298" i="14"/>
  <c r="M298" i="14"/>
  <c r="J302" i="14" l="1"/>
  <c r="E299" i="14"/>
  <c r="O299" i="14"/>
  <c r="I299" i="14"/>
  <c r="I300" i="14" l="1"/>
  <c r="M299" i="14"/>
  <c r="L299" i="14"/>
  <c r="H299" i="14"/>
  <c r="M300" i="14" l="1"/>
  <c r="L300" i="14"/>
  <c r="E300" i="14"/>
  <c r="O300" i="14"/>
  <c r="I301" i="14"/>
  <c r="J303" i="14"/>
  <c r="L301" i="14" l="1"/>
  <c r="M301" i="14"/>
  <c r="E301" i="14"/>
  <c r="O301" i="14"/>
  <c r="H300" i="14"/>
  <c r="E302" i="14" l="1"/>
  <c r="O302" i="14"/>
  <c r="I302" i="14"/>
  <c r="H301" i="14"/>
  <c r="L302" i="14" l="1"/>
  <c r="M302" i="14"/>
  <c r="H302" i="14"/>
  <c r="E303" i="14" l="1"/>
  <c r="O303" i="14"/>
  <c r="I303" i="14"/>
  <c r="E304" i="14" l="1"/>
  <c r="O304" i="14"/>
  <c r="L303" i="14"/>
  <c r="I304" i="14"/>
  <c r="M303" i="14"/>
  <c r="H303" i="14"/>
  <c r="I305" i="14" l="1"/>
  <c r="L304" i="14"/>
  <c r="M304" i="14"/>
  <c r="H304" i="14"/>
  <c r="E305" i="14"/>
  <c r="O305" i="14"/>
  <c r="H305" i="14" l="1"/>
  <c r="L305" i="14"/>
  <c r="M305" i="14"/>
  <c r="I306" i="14"/>
  <c r="E306" i="14"/>
  <c r="O306" i="14"/>
  <c r="H306" i="14" l="1"/>
  <c r="E307" i="14"/>
  <c r="O307" i="14"/>
  <c r="L306" i="14"/>
  <c r="M306" i="14"/>
  <c r="I307" i="14"/>
  <c r="H307" i="14" l="1"/>
  <c r="M307" i="14"/>
  <c r="L307" i="14"/>
  <c r="E308" i="14" l="1"/>
  <c r="O308" i="14"/>
  <c r="I308" i="14"/>
  <c r="H308" i="14" l="1"/>
  <c r="L308" i="14"/>
  <c r="M308" i="14"/>
  <c r="I309" i="14"/>
  <c r="E309" i="14"/>
  <c r="O309" i="14"/>
  <c r="H309" i="14" l="1"/>
  <c r="I310" i="14"/>
  <c r="L309" i="14"/>
  <c r="M309" i="14"/>
  <c r="M310" i="14" l="1"/>
  <c r="L310" i="14"/>
  <c r="E310" i="14"/>
  <c r="O310" i="14"/>
  <c r="E311" i="14" l="1"/>
  <c r="O311" i="14"/>
  <c r="I311" i="14"/>
  <c r="H310" i="14"/>
  <c r="M311" i="14" l="1"/>
  <c r="L311" i="14"/>
  <c r="I312" i="14"/>
  <c r="E312" i="14"/>
  <c r="O312" i="14"/>
  <c r="H311" i="14"/>
  <c r="L312" i="14" l="1"/>
  <c r="M312" i="14"/>
  <c r="I313" i="14"/>
  <c r="E313" i="14"/>
  <c r="O313" i="14"/>
  <c r="H312" i="14"/>
  <c r="H313" i="14" l="1"/>
  <c r="L313" i="14"/>
  <c r="M313" i="14"/>
  <c r="E314" i="14" l="1"/>
  <c r="I314" i="14"/>
  <c r="L314" i="14" s="1"/>
  <c r="O314" i="14"/>
  <c r="M314" i="14" l="1"/>
  <c r="H314" i="14"/>
  <c r="E315" i="14"/>
  <c r="O315" i="14"/>
  <c r="I315" i="14"/>
  <c r="H315" i="14" l="1"/>
  <c r="L315" i="14"/>
  <c r="M315" i="14"/>
  <c r="E316" i="14" l="1"/>
  <c r="O316" i="14"/>
  <c r="I316" i="14"/>
  <c r="E317" i="14" l="1"/>
  <c r="O317" i="14"/>
  <c r="L316" i="14"/>
  <c r="M316" i="14"/>
  <c r="I317" i="14"/>
  <c r="H316" i="14"/>
  <c r="E318" i="14" l="1"/>
  <c r="O318" i="14"/>
  <c r="M317" i="14"/>
  <c r="L317" i="14"/>
  <c r="I318" i="14"/>
  <c r="H317" i="14"/>
  <c r="I319" i="14" l="1"/>
  <c r="M318" i="14"/>
  <c r="L318" i="14"/>
  <c r="H318" i="14"/>
  <c r="M319" i="14" l="1"/>
  <c r="L319" i="14"/>
  <c r="E319" i="14"/>
  <c r="O319" i="14"/>
  <c r="I320" i="14"/>
  <c r="M320" i="14" l="1"/>
  <c r="L320" i="14"/>
  <c r="H319" i="14"/>
  <c r="E320" i="14"/>
  <c r="O320" i="14"/>
  <c r="E321" i="14" l="1"/>
  <c r="O321" i="14"/>
  <c r="I321" i="14"/>
  <c r="H320" i="14"/>
  <c r="I322" i="14" l="1"/>
  <c r="M322" i="14" s="1"/>
  <c r="E323" i="14"/>
  <c r="H321" i="14"/>
  <c r="O322" i="14"/>
  <c r="E322" i="14"/>
  <c r="M321" i="14"/>
  <c r="L321" i="14"/>
  <c r="L322" i="14" l="1"/>
  <c r="H322" i="14"/>
  <c r="O323" i="14"/>
  <c r="I323" i="14"/>
  <c r="E324" i="14" s="1"/>
  <c r="H323" i="14"/>
  <c r="M323" i="14" l="1"/>
  <c r="I324" i="14"/>
  <c r="E325" i="14" s="1"/>
  <c r="L323" i="14"/>
  <c r="O324" i="14"/>
  <c r="H324" i="14"/>
  <c r="M324" i="14" l="1"/>
  <c r="L324" i="14"/>
  <c r="I325" i="14"/>
  <c r="O325" i="14"/>
  <c r="H325" i="14"/>
  <c r="L325" i="14" l="1"/>
  <c r="M325" i="14"/>
  <c r="E326" i="14" l="1"/>
  <c r="I326" i="14"/>
  <c r="O326" i="14"/>
  <c r="H326" i="14" l="1"/>
  <c r="E327" i="14"/>
  <c r="O327" i="14"/>
  <c r="I327" i="14"/>
  <c r="M326" i="14"/>
  <c r="L326" i="14"/>
  <c r="H327" i="14" l="1"/>
  <c r="L327" i="14"/>
  <c r="M327" i="14"/>
  <c r="O328" i="14" l="1"/>
  <c r="I328" i="14"/>
  <c r="E328" i="14"/>
  <c r="E329" i="14"/>
  <c r="H328" i="14" l="1"/>
  <c r="I329" i="14"/>
  <c r="L329" i="14" s="1"/>
  <c r="O329" i="14"/>
  <c r="H329" i="14"/>
  <c r="M328" i="14"/>
  <c r="L328" i="14"/>
  <c r="M329" i="14" l="1"/>
  <c r="E330" i="14" l="1"/>
  <c r="O330" i="14"/>
  <c r="I330" i="14"/>
  <c r="O331" i="14" l="1"/>
  <c r="E331" i="14"/>
  <c r="I331" i="14"/>
  <c r="M330" i="14"/>
  <c r="L330" i="14"/>
  <c r="H330" i="14"/>
  <c r="I332" i="14" l="1"/>
  <c r="L331" i="14"/>
  <c r="M331" i="14"/>
  <c r="H331" i="14"/>
  <c r="O332" i="14"/>
  <c r="L332" i="14" l="1"/>
  <c r="I333" i="14"/>
  <c r="M332" i="14"/>
  <c r="E332" i="14"/>
  <c r="L333" i="14"/>
  <c r="E333" i="14"/>
  <c r="M333" i="14" l="1"/>
  <c r="I334" i="14"/>
  <c r="L334" i="14" s="1"/>
  <c r="H332" i="14"/>
  <c r="O333" i="14"/>
  <c r="H333" i="14"/>
  <c r="E334" i="14"/>
  <c r="O334" i="14"/>
  <c r="M334" i="14" l="1"/>
  <c r="H334" i="14"/>
  <c r="J304" i="14" l="1"/>
  <c r="J305" i="14" l="1"/>
  <c r="J306" i="14" l="1"/>
  <c r="J307" i="14" l="1"/>
  <c r="J308" i="14" l="1"/>
  <c r="J309" i="14" l="1"/>
  <c r="J310" i="14" l="1"/>
  <c r="J311" i="14" l="1"/>
  <c r="J312" i="14" l="1"/>
  <c r="J313" i="14" l="1"/>
  <c r="J314" i="14" l="1"/>
  <c r="J315" i="14" l="1"/>
  <c r="J316" i="14" l="1"/>
  <c r="J317" i="14" l="1"/>
  <c r="J318" i="14" l="1"/>
  <c r="J319" i="14" l="1"/>
  <c r="J320" i="14" l="1"/>
  <c r="J321" i="14" l="1"/>
  <c r="J322" i="14" l="1"/>
  <c r="J323" i="14" l="1"/>
  <c r="J324" i="14" l="1"/>
  <c r="J325" i="14" l="1"/>
  <c r="J326" i="14" l="1"/>
  <c r="J327" i="14" l="1"/>
  <c r="J328" i="14" l="1"/>
  <c r="J329" i="14" l="1"/>
  <c r="J330" i="14" l="1"/>
  <c r="J331" i="14" l="1"/>
  <c r="J332" i="14" l="1"/>
  <c r="J333" i="14" l="1"/>
  <c r="J334" i="14" l="1"/>
  <c r="J335" i="14" l="1"/>
  <c r="J336" i="14" l="1"/>
  <c r="J337" i="14" l="1"/>
  <c r="J338" i="14" l="1"/>
  <c r="J339" i="14" l="1"/>
  <c r="J340" i="14" l="1"/>
  <c r="J341" i="14" l="1"/>
  <c r="J342" i="14" l="1"/>
  <c r="J343" i="14" l="1"/>
  <c r="J344" i="14" l="1"/>
  <c r="J345" i="14" l="1"/>
  <c r="J346" i="14" l="1"/>
  <c r="J347" i="14" l="1"/>
  <c r="J348" i="14" l="1"/>
  <c r="J349" i="14" l="1"/>
  <c r="J350" i="14" l="1"/>
  <c r="J351" i="14" l="1"/>
  <c r="J352" i="14" l="1"/>
  <c r="J353" i="14" l="1"/>
  <c r="J354" i="14" l="1"/>
  <c r="J355" i="14" l="1"/>
  <c r="J356" i="14" l="1"/>
  <c r="J357" i="14" l="1"/>
  <c r="J358" i="14" l="1"/>
  <c r="J359" i="14" l="1"/>
  <c r="J360" i="14" l="1"/>
  <c r="J361" i="14" l="1"/>
  <c r="J362" i="14" l="1"/>
  <c r="J363" i="14" l="1"/>
  <c r="J364" i="14" l="1"/>
  <c r="J365" i="14" l="1"/>
  <c r="J366" i="14" l="1"/>
  <c r="J367" i="14" l="1"/>
  <c r="J368" i="14" l="1"/>
  <c r="J369" i="14" l="1"/>
  <c r="J370" i="14" l="1"/>
  <c r="J371" i="14" l="1"/>
  <c r="J372" i="14" l="1"/>
  <c r="J373" i="14" l="1"/>
  <c r="J374" i="14" l="1"/>
  <c r="J375" i="14" l="1"/>
  <c r="J376" i="14" l="1"/>
  <c r="J377" i="14" l="1"/>
  <c r="J378" i="14" l="1"/>
  <c r="J379" i="14" l="1"/>
  <c r="J380" i="14" l="1"/>
  <c r="J381" i="14" l="1"/>
  <c r="J382" i="14" l="1"/>
  <c r="J383" i="14" l="1"/>
  <c r="J384" i="14" l="1"/>
  <c r="J385" i="14" l="1"/>
  <c r="J386" i="14" l="1"/>
  <c r="J387" i="14" l="1"/>
  <c r="J388" i="14" l="1"/>
  <c r="J389" i="14" l="1"/>
  <c r="J390" i="14" l="1"/>
  <c r="J391" i="14" l="1"/>
  <c r="J392" i="14" l="1"/>
  <c r="J393" i="14" l="1"/>
  <c r="J394" i="14" l="1"/>
  <c r="J395" i="14" l="1"/>
  <c r="J396" i="14" l="1"/>
  <c r="J397" i="14" l="1"/>
  <c r="J398" i="14" l="1"/>
  <c r="J399" i="14" l="1"/>
  <c r="J400" i="14" l="1"/>
  <c r="J401" i="14" l="1"/>
  <c r="J402" i="14" l="1"/>
  <c r="J403" i="14" l="1"/>
  <c r="J404" i="14" l="1"/>
  <c r="J405" i="14" l="1"/>
  <c r="J406" i="14" l="1"/>
  <c r="J407" i="14" l="1"/>
  <c r="J408" i="14" l="1"/>
  <c r="J409" i="14" l="1"/>
  <c r="J410" i="14" l="1"/>
  <c r="J411" i="14" l="1"/>
  <c r="J412" i="14" l="1"/>
  <c r="J413" i="14" l="1"/>
  <c r="J414" i="14" l="1"/>
  <c r="J415" i="14" l="1"/>
  <c r="J416" i="14" l="1"/>
  <c r="J417" i="14" l="1"/>
  <c r="J418" i="14" l="1"/>
  <c r="J419" i="14" l="1"/>
  <c r="J420" i="14" l="1"/>
  <c r="J421" i="14" l="1"/>
  <c r="J422" i="14" l="1"/>
  <c r="J423" i="14" l="1"/>
  <c r="J424" i="14" l="1"/>
  <c r="J425" i="14" l="1"/>
  <c r="J426" i="14" l="1"/>
  <c r="J427" i="14" l="1"/>
  <c r="J428" i="14" l="1"/>
  <c r="J429" i="14" l="1"/>
  <c r="J430" i="14" l="1"/>
  <c r="J431" i="14" l="1"/>
  <c r="J432" i="14" l="1"/>
  <c r="J433" i="14" l="1"/>
  <c r="J434" i="14" l="1"/>
  <c r="J435" i="14" l="1"/>
  <c r="J436" i="14" l="1"/>
  <c r="J437" i="14" l="1"/>
  <c r="J438" i="14" l="1"/>
  <c r="J439" i="14" l="1"/>
  <c r="J440" i="14" l="1"/>
  <c r="J441" i="14" l="1"/>
  <c r="J442" i="14" l="1"/>
  <c r="J443" i="14" l="1"/>
  <c r="J444" i="14" l="1"/>
  <c r="J445" i="14" l="1"/>
  <c r="G447" i="14" l="1"/>
  <c r="J446" i="14"/>
  <c r="G448" i="14" l="1"/>
  <c r="J447" i="14"/>
  <c r="G449" i="14" l="1"/>
  <c r="J448" i="14"/>
  <c r="G450" i="14" l="1"/>
  <c r="J449" i="14"/>
  <c r="G451" i="14" l="1"/>
  <c r="J450" i="14"/>
  <c r="G452" i="14" l="1"/>
  <c r="J451" i="14"/>
  <c r="G453" i="14" l="1"/>
  <c r="J452" i="14"/>
  <c r="G454" i="14" l="1"/>
  <c r="J453" i="14"/>
  <c r="G455" i="14" l="1"/>
  <c r="J454" i="14"/>
  <c r="G456" i="14" l="1"/>
  <c r="J455" i="14"/>
  <c r="G457" i="14" l="1"/>
  <c r="J456" i="14"/>
  <c r="G458" i="14" l="1"/>
  <c r="J457" i="14"/>
  <c r="G459" i="14" l="1"/>
  <c r="J458" i="14"/>
  <c r="G460" i="14" l="1"/>
  <c r="J459" i="14"/>
  <c r="G461" i="14" l="1"/>
  <c r="J460" i="14"/>
  <c r="G462" i="14" l="1"/>
  <c r="J461" i="14"/>
  <c r="G463" i="14" l="1"/>
  <c r="J462" i="14"/>
  <c r="G464" i="14" l="1"/>
  <c r="J463" i="14"/>
  <c r="G465" i="14" l="1"/>
  <c r="J464" i="14"/>
  <c r="G466" i="14" l="1"/>
  <c r="J465" i="14"/>
  <c r="G467" i="14" l="1"/>
  <c r="J466" i="14"/>
  <c r="G468" i="14" l="1"/>
  <c r="J467" i="14"/>
  <c r="G469" i="14" l="1"/>
  <c r="J468" i="14"/>
  <c r="G470" i="14" l="1"/>
  <c r="J469" i="14"/>
  <c r="G471" i="14" l="1"/>
  <c r="J470" i="14"/>
  <c r="G472" i="14" l="1"/>
  <c r="J471" i="14"/>
  <c r="G473" i="14" l="1"/>
  <c r="J472" i="14"/>
  <c r="G474" i="14" l="1"/>
  <c r="J473" i="14"/>
  <c r="G475" i="14" l="1"/>
  <c r="J474" i="14"/>
  <c r="G476" i="14" l="1"/>
  <c r="J475" i="14"/>
  <c r="G477" i="14" l="1"/>
  <c r="J476" i="14"/>
  <c r="G478" i="14" l="1"/>
  <c r="J477" i="14"/>
  <c r="G479" i="14" l="1"/>
  <c r="J478" i="14"/>
  <c r="G480" i="14" l="1"/>
  <c r="J479" i="14"/>
  <c r="G481" i="14" l="1"/>
  <c r="J480" i="14"/>
  <c r="G482" i="14" l="1"/>
  <c r="J481" i="14"/>
  <c r="G483" i="14" l="1"/>
  <c r="J482" i="14"/>
  <c r="G484" i="14" l="1"/>
  <c r="J483" i="14"/>
  <c r="G485" i="14" l="1"/>
  <c r="J484" i="14"/>
  <c r="G486" i="14" l="1"/>
  <c r="J485" i="14"/>
  <c r="G487" i="14" l="1"/>
  <c r="J486" i="14"/>
  <c r="G488" i="14" l="1"/>
  <c r="J487" i="14"/>
  <c r="G489" i="14" l="1"/>
  <c r="J488" i="14"/>
  <c r="G490" i="14" l="1"/>
  <c r="J489" i="14"/>
  <c r="G491" i="14" l="1"/>
  <c r="J490" i="14"/>
  <c r="G492" i="14" l="1"/>
  <c r="J491" i="14"/>
  <c r="G493" i="14" l="1"/>
  <c r="J492" i="14"/>
  <c r="G494" i="14" l="1"/>
  <c r="J493" i="14"/>
  <c r="G495" i="14" l="1"/>
  <c r="J494" i="14"/>
  <c r="G496" i="14" l="1"/>
  <c r="J495" i="14"/>
  <c r="G497" i="14" l="1"/>
  <c r="J496" i="14"/>
  <c r="G498" i="14" l="1"/>
  <c r="J497" i="14"/>
  <c r="G499" i="14" l="1"/>
  <c r="J498" i="14"/>
  <c r="G500" i="14" l="1"/>
  <c r="J499" i="14"/>
  <c r="G501" i="14" l="1"/>
  <c r="J500" i="14"/>
  <c r="G502" i="14" l="1"/>
  <c r="J501" i="14"/>
  <c r="G503" i="14" l="1"/>
  <c r="J502" i="14"/>
  <c r="G504" i="14" l="1"/>
  <c r="J503" i="14"/>
  <c r="G505" i="14" l="1"/>
  <c r="J504" i="14"/>
  <c r="G506" i="14" l="1"/>
  <c r="J505" i="14"/>
  <c r="G507" i="14" l="1"/>
  <c r="J506" i="14"/>
  <c r="G508" i="14" l="1"/>
  <c r="J507" i="14"/>
  <c r="G509" i="14" l="1"/>
  <c r="J508" i="14"/>
  <c r="G510" i="14" l="1"/>
  <c r="J509" i="14"/>
  <c r="G511" i="14" l="1"/>
  <c r="J510" i="14"/>
  <c r="G512" i="14" l="1"/>
  <c r="J511" i="14"/>
  <c r="G513" i="14" l="1"/>
  <c r="J512" i="14"/>
  <c r="G514" i="14" l="1"/>
  <c r="J513" i="14"/>
  <c r="G515" i="14" l="1"/>
  <c r="J514" i="14"/>
  <c r="G516" i="14" l="1"/>
  <c r="J515" i="14"/>
  <c r="G517" i="14" l="1"/>
  <c r="J516" i="14"/>
  <c r="G518" i="14" l="1"/>
  <c r="J517" i="14"/>
  <c r="G519" i="14" l="1"/>
  <c r="J518" i="14"/>
  <c r="G520" i="14" l="1"/>
  <c r="J519" i="14"/>
  <c r="G521" i="14" l="1"/>
  <c r="J520" i="14"/>
  <c r="G522" i="14" l="1"/>
  <c r="J521" i="14"/>
  <c r="G523" i="14" l="1"/>
  <c r="J522" i="14"/>
  <c r="J523" i="14" l="1"/>
  <c r="B43" i="14"/>
  <c r="B42" i="14"/>
  <c r="B45" i="14"/>
  <c r="B46" i="14"/>
  <c r="B48" i="14"/>
  <c r="B47" i="14"/>
  <c r="B44" i="14"/>
  <c r="I335" i="14" l="1"/>
  <c r="O335" i="14"/>
  <c r="E335" i="14"/>
  <c r="H335" i="14" l="1"/>
  <c r="M335" i="14"/>
  <c r="L335" i="14"/>
  <c r="I336" i="14" l="1"/>
  <c r="O336" i="14"/>
  <c r="E336" i="14"/>
  <c r="H336" i="14" l="1"/>
  <c r="M336" i="14"/>
  <c r="L336" i="14"/>
  <c r="I337" i="14" l="1"/>
  <c r="L337" i="14" s="1"/>
  <c r="O337" i="14"/>
  <c r="E338" i="14"/>
  <c r="E337" i="14"/>
  <c r="M337" i="14" l="1"/>
  <c r="H337" i="14"/>
  <c r="I338" i="14"/>
  <c r="O338" i="14"/>
  <c r="H338" i="14"/>
  <c r="L338" i="14" l="1"/>
  <c r="O339" i="14"/>
  <c r="E339" i="14"/>
  <c r="I339" i="14"/>
  <c r="M339" i="14" s="1"/>
  <c r="M338" i="14"/>
  <c r="L339" i="14" l="1"/>
  <c r="H339" i="14"/>
  <c r="O340" i="14"/>
  <c r="E341" i="14"/>
  <c r="E340" i="14"/>
  <c r="I340" i="14"/>
  <c r="L340" i="14" s="1"/>
  <c r="H340" i="14" l="1"/>
  <c r="M340" i="14"/>
  <c r="I341" i="14"/>
  <c r="M341" i="14" s="1"/>
  <c r="O341" i="14"/>
  <c r="E342" i="14"/>
  <c r="H341" i="14"/>
  <c r="I342" i="14" l="1"/>
  <c r="L342" i="14" s="1"/>
  <c r="L341" i="14"/>
  <c r="E343" i="14"/>
  <c r="O342" i="14"/>
  <c r="H342" i="14"/>
  <c r="M342" i="14" l="1"/>
  <c r="I343" i="14"/>
  <c r="O344" i="14" s="1"/>
  <c r="O343" i="14"/>
  <c r="H343" i="14"/>
  <c r="M343" i="14" l="1"/>
  <c r="L343" i="14"/>
  <c r="I344" i="14"/>
  <c r="L344" i="14" s="1"/>
  <c r="E344" i="14"/>
  <c r="I345" i="14" l="1"/>
  <c r="M345" i="14" s="1"/>
  <c r="M344" i="14"/>
  <c r="O345" i="14"/>
  <c r="H344" i="14"/>
  <c r="E345" i="14"/>
  <c r="O346" i="14"/>
  <c r="E346" i="14"/>
  <c r="I346" i="14" l="1"/>
  <c r="L345" i="14"/>
  <c r="H345" i="14"/>
  <c r="E347" i="14"/>
  <c r="O347" i="14"/>
  <c r="H346" i="14"/>
  <c r="M346" i="14"/>
  <c r="L346" i="14"/>
  <c r="I347" i="14"/>
  <c r="O348" i="14" l="1"/>
  <c r="E348" i="14"/>
  <c r="H347" i="14"/>
  <c r="L347" i="14"/>
  <c r="M347" i="14"/>
  <c r="I348" i="14"/>
  <c r="O349" i="14" l="1"/>
  <c r="E349" i="14"/>
  <c r="H348" i="14"/>
  <c r="M348" i="14"/>
  <c r="L348" i="14"/>
  <c r="I349" i="14"/>
  <c r="E350" i="14" l="1"/>
  <c r="O350" i="14"/>
  <c r="H349" i="14"/>
  <c r="M349" i="14"/>
  <c r="L349" i="14"/>
  <c r="I350" i="14"/>
  <c r="E351" i="14" l="1"/>
  <c r="O351" i="14"/>
  <c r="H350" i="14"/>
  <c r="L350" i="14"/>
  <c r="M350" i="14"/>
  <c r="I351" i="14"/>
  <c r="H351" i="14" l="1"/>
  <c r="O352" i="14"/>
  <c r="E352" i="14"/>
  <c r="L351" i="14"/>
  <c r="M351" i="14"/>
  <c r="I352" i="14"/>
  <c r="O353" i="14" l="1"/>
  <c r="E353" i="14"/>
  <c r="H352" i="14"/>
  <c r="L352" i="14"/>
  <c r="M352" i="14"/>
  <c r="I353" i="14"/>
  <c r="O354" i="14" l="1"/>
  <c r="E354" i="14"/>
  <c r="H353" i="14"/>
  <c r="L353" i="14"/>
  <c r="M353" i="14"/>
  <c r="I354" i="14"/>
  <c r="O355" i="14" l="1"/>
  <c r="E355" i="14"/>
  <c r="H354" i="14"/>
  <c r="M354" i="14"/>
  <c r="L354" i="14"/>
  <c r="I355" i="14"/>
  <c r="E356" i="14" l="1"/>
  <c r="O356" i="14"/>
  <c r="H355" i="14"/>
  <c r="L355" i="14"/>
  <c r="M355" i="14"/>
  <c r="I356" i="14"/>
  <c r="E357" i="14" l="1"/>
  <c r="O357" i="14"/>
  <c r="H356" i="14"/>
  <c r="M356" i="14"/>
  <c r="L356" i="14"/>
  <c r="I357" i="14"/>
  <c r="H357" i="14" l="1"/>
  <c r="O358" i="14"/>
  <c r="E358" i="14"/>
  <c r="M357" i="14"/>
  <c r="L357" i="14"/>
  <c r="I358" i="14"/>
  <c r="E359" i="14" l="1"/>
  <c r="O359" i="14"/>
  <c r="H358" i="14"/>
  <c r="L358" i="14"/>
  <c r="M358" i="14"/>
  <c r="I359" i="14"/>
  <c r="O360" i="14" l="1"/>
  <c r="E360" i="14"/>
  <c r="H359" i="14"/>
  <c r="M359" i="14"/>
  <c r="L359" i="14"/>
  <c r="I360" i="14"/>
  <c r="E361" i="14" l="1"/>
  <c r="O361" i="14"/>
  <c r="H360" i="14"/>
  <c r="L360" i="14"/>
  <c r="M360" i="14"/>
  <c r="I361" i="14"/>
  <c r="O362" i="14" l="1"/>
  <c r="E362" i="14"/>
  <c r="H361" i="14"/>
  <c r="I362" i="14"/>
  <c r="L361" i="14"/>
  <c r="M361" i="14"/>
  <c r="O363" i="14" l="1"/>
  <c r="E363" i="14"/>
  <c r="H362" i="14"/>
  <c r="M362" i="14"/>
  <c r="L362" i="14"/>
  <c r="I363" i="14"/>
  <c r="E364" i="14" l="1"/>
  <c r="O364" i="14"/>
  <c r="H363" i="14"/>
  <c r="L363" i="14"/>
  <c r="M363" i="14"/>
  <c r="I364" i="14"/>
  <c r="H364" i="14" l="1"/>
  <c r="E365" i="14"/>
  <c r="O365" i="14"/>
  <c r="M364" i="14"/>
  <c r="L364" i="14"/>
  <c r="I365" i="14"/>
  <c r="O366" i="14" l="1"/>
  <c r="E366" i="14"/>
  <c r="H365" i="14"/>
  <c r="L365" i="14"/>
  <c r="M365" i="14"/>
  <c r="I366" i="14"/>
  <c r="E367" i="14" l="1"/>
  <c r="O367" i="14"/>
  <c r="H366" i="14"/>
  <c r="L366" i="14"/>
  <c r="M366" i="14"/>
  <c r="I367" i="14"/>
  <c r="E368" i="14" l="1"/>
  <c r="O368" i="14"/>
  <c r="H367" i="14"/>
  <c r="M367" i="14"/>
  <c r="L367" i="14"/>
  <c r="I368" i="14"/>
  <c r="O369" i="14" l="1"/>
  <c r="E369" i="14"/>
  <c r="H368" i="14"/>
  <c r="M368" i="14"/>
  <c r="L368" i="14"/>
  <c r="I369" i="14"/>
  <c r="O370" i="14" l="1"/>
  <c r="E370" i="14"/>
  <c r="H369" i="14"/>
  <c r="M369" i="14"/>
  <c r="L369" i="14"/>
  <c r="I370" i="14"/>
  <c r="O371" i="14" l="1"/>
  <c r="E371" i="14"/>
  <c r="H370" i="14"/>
  <c r="L370" i="14"/>
  <c r="M370" i="14"/>
  <c r="I371" i="14"/>
  <c r="E372" i="14" l="1"/>
  <c r="O372" i="14"/>
  <c r="H371" i="14"/>
  <c r="M371" i="14"/>
  <c r="L371" i="14"/>
  <c r="I372" i="14"/>
  <c r="H372" i="14" l="1"/>
  <c r="E373" i="14"/>
  <c r="O373" i="14"/>
  <c r="M372" i="14"/>
  <c r="L372" i="14"/>
  <c r="I373" i="14"/>
  <c r="O374" i="14" l="1"/>
  <c r="E374" i="14"/>
  <c r="H373" i="14"/>
  <c r="I374" i="14"/>
  <c r="M373" i="14"/>
  <c r="L373" i="14"/>
  <c r="H374" i="14" l="1"/>
  <c r="E375" i="14"/>
  <c r="O375" i="14"/>
  <c r="L374" i="14"/>
  <c r="M374" i="14"/>
  <c r="I375" i="14"/>
  <c r="O376" i="14" l="1"/>
  <c r="E376" i="14"/>
  <c r="H375" i="14"/>
  <c r="M375" i="14"/>
  <c r="L375" i="14"/>
  <c r="I376" i="14"/>
  <c r="O377" i="14" l="1"/>
  <c r="E377" i="14"/>
  <c r="H376" i="14"/>
  <c r="M376" i="14"/>
  <c r="L376" i="14"/>
  <c r="I377" i="14"/>
  <c r="E378" i="14" l="1"/>
  <c r="O378" i="14"/>
  <c r="H377" i="14"/>
  <c r="I378" i="14"/>
  <c r="L377" i="14"/>
  <c r="M377" i="14"/>
  <c r="O379" i="14" l="1"/>
  <c r="E379" i="14"/>
  <c r="H378" i="14"/>
  <c r="L378" i="14"/>
  <c r="M378" i="14"/>
  <c r="I379" i="14"/>
  <c r="O380" i="14" l="1"/>
  <c r="E380" i="14"/>
  <c r="H379" i="14"/>
  <c r="L379" i="14"/>
  <c r="M379" i="14"/>
  <c r="I380" i="14"/>
  <c r="E381" i="14" l="1"/>
  <c r="O381" i="14"/>
  <c r="H380" i="14"/>
  <c r="L380" i="14"/>
  <c r="M380" i="14"/>
  <c r="I381" i="14"/>
  <c r="O382" i="14" l="1"/>
  <c r="E382" i="14"/>
  <c r="H381" i="14"/>
  <c r="M381" i="14"/>
  <c r="L381" i="14"/>
  <c r="I382" i="14"/>
  <c r="E383" i="14" l="1"/>
  <c r="O383" i="14"/>
  <c r="H382" i="14"/>
  <c r="L382" i="14"/>
  <c r="M382" i="14"/>
  <c r="I383" i="14"/>
  <c r="O384" i="14" l="1"/>
  <c r="E384" i="14"/>
  <c r="H383" i="14"/>
  <c r="M383" i="14"/>
  <c r="L383" i="14"/>
  <c r="I384" i="14"/>
  <c r="E385" i="14" l="1"/>
  <c r="O385" i="14"/>
  <c r="H384" i="14"/>
  <c r="M384" i="14"/>
  <c r="L384" i="14"/>
  <c r="I385" i="14"/>
  <c r="E386" i="14" l="1"/>
  <c r="O386" i="14"/>
  <c r="H385" i="14"/>
  <c r="L385" i="14"/>
  <c r="M385" i="14"/>
  <c r="I386" i="14"/>
  <c r="O387" i="14" l="1"/>
  <c r="E387" i="14"/>
  <c r="H386" i="14"/>
  <c r="M386" i="14"/>
  <c r="L386" i="14"/>
  <c r="I387" i="14"/>
  <c r="O388" i="14" l="1"/>
  <c r="E388" i="14"/>
  <c r="H387" i="14"/>
  <c r="M387" i="14"/>
  <c r="L387" i="14"/>
  <c r="I388" i="14"/>
  <c r="O389" i="14" l="1"/>
  <c r="E389" i="14"/>
  <c r="H388" i="14"/>
  <c r="M388" i="14"/>
  <c r="L388" i="14"/>
  <c r="I389" i="14"/>
  <c r="E390" i="14" l="1"/>
  <c r="O390" i="14"/>
  <c r="H389" i="14"/>
  <c r="M389" i="14"/>
  <c r="L389" i="14"/>
  <c r="I390" i="14"/>
  <c r="E10" i="8" l="1"/>
  <c r="E391" i="14"/>
  <c r="D10" i="8" s="1"/>
  <c r="H10" i="8" s="1"/>
  <c r="O10" i="8" s="1"/>
  <c r="O391" i="14"/>
  <c r="H390" i="14"/>
  <c r="M390" i="14"/>
  <c r="L390" i="14"/>
  <c r="I391" i="14"/>
  <c r="I10" i="8" l="1"/>
  <c r="J10" i="8" s="1"/>
  <c r="Q10" i="8"/>
  <c r="K10" i="8"/>
  <c r="P10" i="8"/>
  <c r="R10" i="8"/>
  <c r="D11" i="8"/>
  <c r="O392" i="14"/>
  <c r="E392" i="14"/>
  <c r="E11" i="8" s="1"/>
  <c r="H391" i="14"/>
  <c r="M391" i="14"/>
  <c r="L391" i="14"/>
  <c r="I392" i="14"/>
  <c r="I11" i="8" l="1"/>
  <c r="H11" i="8"/>
  <c r="O393" i="14"/>
  <c r="E393" i="14"/>
  <c r="H392" i="14"/>
  <c r="M392" i="14"/>
  <c r="L392" i="14"/>
  <c r="I393" i="14"/>
  <c r="D13" i="8" l="1"/>
  <c r="I13" i="8" s="1"/>
  <c r="P13" i="8" s="1"/>
  <c r="E12" i="8"/>
  <c r="D12" i="8"/>
  <c r="Q11" i="8"/>
  <c r="O11" i="8"/>
  <c r="K11" i="8"/>
  <c r="J11" i="8"/>
  <c r="R11" i="8"/>
  <c r="P11" i="8"/>
  <c r="E394" i="14"/>
  <c r="E13" i="8" s="1"/>
  <c r="O394" i="14"/>
  <c r="H393" i="14"/>
  <c r="M393" i="14"/>
  <c r="I394" i="14"/>
  <c r="L393" i="14"/>
  <c r="R13" i="8" l="1"/>
  <c r="H13" i="8"/>
  <c r="J13" i="8"/>
  <c r="K13" i="8"/>
  <c r="I12" i="8"/>
  <c r="H12" i="8"/>
  <c r="E395" i="14"/>
  <c r="E14" i="8" s="1"/>
  <c r="O395" i="14"/>
  <c r="H394" i="14"/>
  <c r="L394" i="14"/>
  <c r="M394" i="14"/>
  <c r="I395" i="14"/>
  <c r="O12" i="8" l="1"/>
  <c r="Q12" i="8"/>
  <c r="P12" i="8"/>
  <c r="K12" i="8"/>
  <c r="R12" i="8"/>
  <c r="J12" i="8"/>
  <c r="Q13" i="8"/>
  <c r="O13" i="8"/>
  <c r="E396" i="14"/>
  <c r="O396" i="14"/>
  <c r="H395" i="14"/>
  <c r="L395" i="14"/>
  <c r="M395" i="14"/>
  <c r="I396" i="14"/>
  <c r="E16" i="8" l="1"/>
  <c r="E15" i="8"/>
  <c r="O397" i="14"/>
  <c r="E397" i="14"/>
  <c r="H396" i="14"/>
  <c r="M396" i="14"/>
  <c r="L396" i="14"/>
  <c r="I397" i="14"/>
  <c r="E17" i="8" l="1"/>
  <c r="O398" i="14"/>
  <c r="E398" i="14"/>
  <c r="H397" i="14"/>
  <c r="M397" i="14"/>
  <c r="L397" i="14"/>
  <c r="I398" i="14"/>
  <c r="E18" i="8" l="1"/>
  <c r="E399" i="14"/>
  <c r="O399" i="14"/>
  <c r="H398" i="14"/>
  <c r="M398" i="14"/>
  <c r="L398" i="14"/>
  <c r="I399" i="14"/>
  <c r="E19" i="8" l="1"/>
  <c r="E400" i="14"/>
  <c r="O400" i="14"/>
  <c r="H399" i="14"/>
  <c r="M399" i="14"/>
  <c r="L399" i="14"/>
  <c r="I400" i="14"/>
  <c r="E401" i="14" l="1"/>
  <c r="O401" i="14"/>
  <c r="H400" i="14"/>
  <c r="L400" i="14"/>
  <c r="M400" i="14"/>
  <c r="I401" i="14"/>
  <c r="E21" i="8" l="1"/>
  <c r="E20" i="8"/>
  <c r="E402" i="14"/>
  <c r="O402" i="14"/>
  <c r="H401" i="14"/>
  <c r="L401" i="14"/>
  <c r="M401" i="14"/>
  <c r="I402" i="14"/>
  <c r="E22" i="8" l="1"/>
  <c r="O403" i="14"/>
  <c r="E403" i="14"/>
  <c r="H402" i="14"/>
  <c r="L402" i="14"/>
  <c r="M402" i="14"/>
  <c r="I403" i="14"/>
  <c r="E23" i="8" l="1"/>
  <c r="O404" i="14"/>
  <c r="E404" i="14"/>
  <c r="H403" i="14"/>
  <c r="M403" i="14"/>
  <c r="L403" i="14"/>
  <c r="I404" i="14"/>
  <c r="E24" i="8" l="1"/>
  <c r="E405" i="14"/>
  <c r="O405" i="14"/>
  <c r="H404" i="14"/>
  <c r="M404" i="14"/>
  <c r="L404" i="14"/>
  <c r="I405" i="14"/>
  <c r="E25" i="8" l="1"/>
  <c r="E406" i="14"/>
  <c r="O406" i="14"/>
  <c r="H405" i="14"/>
  <c r="L405" i="14"/>
  <c r="M405" i="14"/>
  <c r="I406" i="14"/>
  <c r="E26" i="8" l="1"/>
  <c r="O407" i="14"/>
  <c r="E407" i="14"/>
  <c r="H406" i="14"/>
  <c r="L406" i="14"/>
  <c r="M406" i="14"/>
  <c r="I407" i="14"/>
  <c r="E27" i="8" l="1"/>
  <c r="O408" i="14"/>
  <c r="E408" i="14"/>
  <c r="H407" i="14"/>
  <c r="M407" i="14"/>
  <c r="L407" i="14"/>
  <c r="I408" i="14"/>
  <c r="E28" i="8" l="1"/>
  <c r="O409" i="14"/>
  <c r="E409" i="14"/>
  <c r="H408" i="14"/>
  <c r="M408" i="14"/>
  <c r="L408" i="14"/>
  <c r="I409" i="14"/>
  <c r="E29" i="8" l="1"/>
  <c r="O410" i="14"/>
  <c r="E410" i="14"/>
  <c r="H409" i="14"/>
  <c r="L409" i="14"/>
  <c r="M409" i="14"/>
  <c r="I410" i="14"/>
  <c r="E30" i="8" l="1"/>
  <c r="E411" i="14"/>
  <c r="O411" i="14"/>
  <c r="H410" i="14"/>
  <c r="M410" i="14"/>
  <c r="L410" i="14"/>
  <c r="I411" i="14"/>
  <c r="E31" i="8" l="1"/>
  <c r="O412" i="14"/>
  <c r="E412" i="14"/>
  <c r="H411" i="14"/>
  <c r="L411" i="14"/>
  <c r="M411" i="14"/>
  <c r="I412" i="14"/>
  <c r="E32" i="8" l="1"/>
  <c r="O413" i="14"/>
  <c r="E413" i="14"/>
  <c r="H412" i="14"/>
  <c r="L412" i="14"/>
  <c r="M412" i="14"/>
  <c r="I413" i="14"/>
  <c r="E33" i="8" l="1"/>
  <c r="E414" i="14"/>
  <c r="O414" i="14"/>
  <c r="H413" i="14"/>
  <c r="L413" i="14"/>
  <c r="M413" i="14"/>
  <c r="I414" i="14"/>
  <c r="E34" i="8" l="1"/>
  <c r="O415" i="14"/>
  <c r="E415" i="14"/>
  <c r="H414" i="14"/>
  <c r="L414" i="14"/>
  <c r="M414" i="14"/>
  <c r="I415" i="14"/>
  <c r="E35" i="8" l="1"/>
  <c r="E416" i="14"/>
  <c r="O416" i="14"/>
  <c r="H415" i="14"/>
  <c r="L415" i="14"/>
  <c r="M415" i="14"/>
  <c r="I416" i="14"/>
  <c r="E36" i="8" l="1"/>
  <c r="O417" i="14"/>
  <c r="E417" i="14"/>
  <c r="H416" i="14"/>
  <c r="L416" i="14"/>
  <c r="M416" i="14"/>
  <c r="I417" i="14"/>
  <c r="O418" i="14" l="1"/>
  <c r="H417" i="14"/>
  <c r="L417" i="14"/>
  <c r="M417" i="14"/>
  <c r="I418" i="14" l="1"/>
  <c r="E418" i="14"/>
  <c r="M418" i="14"/>
  <c r="L418" i="14"/>
  <c r="E37" i="8" l="1"/>
  <c r="O419" i="14"/>
  <c r="I419" i="14"/>
  <c r="I420" i="14" s="1"/>
  <c r="H418" i="14"/>
  <c r="E419" i="14"/>
  <c r="E38" i="8" s="1"/>
  <c r="L419" i="14" l="1"/>
  <c r="M419" i="14"/>
  <c r="H419" i="14"/>
  <c r="O420" i="14"/>
  <c r="E420" i="14"/>
  <c r="E39" i="8" s="1"/>
  <c r="E421" i="14"/>
  <c r="O421" i="14"/>
  <c r="M420" i="14"/>
  <c r="L420" i="14"/>
  <c r="I421" i="14"/>
  <c r="E41" i="8" l="1"/>
  <c r="E40" i="8"/>
  <c r="H420" i="14"/>
  <c r="H421" i="14"/>
  <c r="E422" i="14"/>
  <c r="O422" i="14"/>
  <c r="L421" i="14"/>
  <c r="M421" i="14"/>
  <c r="I422" i="14"/>
  <c r="E42" i="8" l="1"/>
  <c r="O423" i="14"/>
  <c r="E423" i="14"/>
  <c r="H422" i="14"/>
  <c r="M422" i="14"/>
  <c r="L422" i="14"/>
  <c r="I423" i="14"/>
  <c r="E43" i="8" l="1"/>
  <c r="O424" i="14"/>
  <c r="E424" i="14"/>
  <c r="H423" i="14"/>
  <c r="M423" i="14"/>
  <c r="L423" i="14"/>
  <c r="I424" i="14"/>
  <c r="E44" i="8" l="1"/>
  <c r="E425" i="14"/>
  <c r="O425" i="14"/>
  <c r="H424" i="14"/>
  <c r="M424" i="14"/>
  <c r="L424" i="14"/>
  <c r="I425" i="14"/>
  <c r="E45" i="8" l="1"/>
  <c r="H425" i="14"/>
  <c r="O426" i="14"/>
  <c r="E426" i="14"/>
  <c r="M425" i="14"/>
  <c r="L425" i="14"/>
  <c r="I426" i="14"/>
  <c r="E46" i="8" l="1"/>
  <c r="O427" i="14"/>
  <c r="E427" i="14"/>
  <c r="H426" i="14"/>
  <c r="M426" i="14"/>
  <c r="I427" i="14"/>
  <c r="L426" i="14"/>
  <c r="E47" i="8" l="1"/>
  <c r="H427" i="14"/>
  <c r="O428" i="14"/>
  <c r="E428" i="14"/>
  <c r="M427" i="14"/>
  <c r="L427" i="14"/>
  <c r="I428" i="14"/>
  <c r="E48" i="8" l="1"/>
  <c r="O429" i="14"/>
  <c r="E429" i="14"/>
  <c r="H428" i="14"/>
  <c r="L428" i="14"/>
  <c r="M428" i="14"/>
  <c r="I429" i="14"/>
  <c r="E49" i="8" l="1"/>
  <c r="E430" i="14"/>
  <c r="O430" i="14"/>
  <c r="H429" i="14"/>
  <c r="L429" i="14"/>
  <c r="M429" i="14"/>
  <c r="I430" i="14"/>
  <c r="E50" i="8" l="1"/>
  <c r="E431" i="14"/>
  <c r="O431" i="14"/>
  <c r="H430" i="14"/>
  <c r="L430" i="14"/>
  <c r="M430" i="14"/>
  <c r="I431" i="14"/>
  <c r="E51" i="8" l="1"/>
  <c r="O432" i="14"/>
  <c r="E432" i="14"/>
  <c r="H431" i="14"/>
  <c r="M431" i="14"/>
  <c r="L431" i="14"/>
  <c r="I432" i="14"/>
  <c r="E52" i="8" l="1"/>
  <c r="H432" i="14"/>
  <c r="O433" i="14"/>
  <c r="E433" i="14"/>
  <c r="M432" i="14"/>
  <c r="L432" i="14"/>
  <c r="I433" i="14"/>
  <c r="E53" i="8" l="1"/>
  <c r="E434" i="14"/>
  <c r="O434" i="14"/>
  <c r="H433" i="14"/>
  <c r="L433" i="14"/>
  <c r="M433" i="14"/>
  <c r="I434" i="14"/>
  <c r="E54" i="8" l="1"/>
  <c r="E435" i="14"/>
  <c r="O435" i="14"/>
  <c r="H434" i="14"/>
  <c r="M434" i="14"/>
  <c r="L434" i="14"/>
  <c r="I435" i="14"/>
  <c r="E55" i="8" l="1"/>
  <c r="H435" i="14"/>
  <c r="O436" i="14"/>
  <c r="E436" i="14"/>
  <c r="M435" i="14"/>
  <c r="L435" i="14"/>
  <c r="I436" i="14"/>
  <c r="E56" i="8" l="1"/>
  <c r="E437" i="14"/>
  <c r="O437" i="14"/>
  <c r="H436" i="14"/>
  <c r="L436" i="14"/>
  <c r="M436" i="14"/>
  <c r="I437" i="14"/>
  <c r="E57" i="8" l="1"/>
  <c r="O438" i="14"/>
  <c r="E438" i="14"/>
  <c r="H437" i="14"/>
  <c r="M437" i="14"/>
  <c r="L437" i="14"/>
  <c r="I438" i="14"/>
  <c r="E58" i="8" l="1"/>
  <c r="O439" i="14"/>
  <c r="E439" i="14"/>
  <c r="H438" i="14"/>
  <c r="M438" i="14"/>
  <c r="L438" i="14"/>
  <c r="I439" i="14"/>
  <c r="E59" i="8" l="1"/>
  <c r="O440" i="14"/>
  <c r="E440" i="14"/>
  <c r="H439" i="14"/>
  <c r="L439" i="14"/>
  <c r="M439" i="14"/>
  <c r="I440" i="14"/>
  <c r="E60" i="8" l="1"/>
  <c r="H440" i="14"/>
  <c r="O441" i="14"/>
  <c r="E441" i="14"/>
  <c r="L440" i="14"/>
  <c r="M440" i="14"/>
  <c r="I441" i="14"/>
  <c r="B27" i="14" s="1"/>
  <c r="E61" i="8" l="1"/>
  <c r="H441" i="14"/>
  <c r="E442" i="14"/>
  <c r="O442" i="14"/>
  <c r="L441" i="14"/>
  <c r="M441" i="14"/>
  <c r="I442" i="14"/>
  <c r="E62" i="8" l="1"/>
  <c r="H442" i="14"/>
  <c r="O443" i="14"/>
  <c r="E443" i="14"/>
  <c r="M442" i="14"/>
  <c r="L442" i="14"/>
  <c r="I443" i="14"/>
  <c r="E63" i="8" l="1"/>
  <c r="H443" i="14"/>
  <c r="E444" i="14"/>
  <c r="O444" i="14"/>
  <c r="M443" i="14"/>
  <c r="L443" i="14"/>
  <c r="I444" i="14"/>
  <c r="E64" i="8" l="1"/>
  <c r="H444" i="14"/>
  <c r="O445" i="14"/>
  <c r="E445" i="14"/>
  <c r="L444" i="14"/>
  <c r="M444" i="14"/>
  <c r="I445" i="14"/>
  <c r="B28" i="14" l="1"/>
  <c r="B29" i="14" s="1"/>
  <c r="H15" i="17" s="1"/>
  <c r="B23" i="14"/>
  <c r="E65" i="8"/>
  <c r="H445" i="14"/>
  <c r="E446" i="14"/>
  <c r="O446" i="14"/>
  <c r="M445" i="14"/>
  <c r="L445" i="14"/>
  <c r="I446" i="14"/>
  <c r="F447" i="14" s="1"/>
  <c r="H446" i="14" l="1"/>
  <c r="O447" i="14"/>
  <c r="E447" i="14"/>
  <c r="E66" i="8" s="1"/>
  <c r="L446" i="14"/>
  <c r="M446" i="14"/>
  <c r="I447" i="14"/>
  <c r="F448" i="14" s="1"/>
  <c r="H447" i="14" l="1"/>
  <c r="O448" i="14"/>
  <c r="E448" i="14"/>
  <c r="E67" i="8" s="1"/>
  <c r="L447" i="14"/>
  <c r="M447" i="14"/>
  <c r="I448" i="14"/>
  <c r="F449" i="14" s="1"/>
  <c r="H448" i="14" l="1"/>
  <c r="O449" i="14"/>
  <c r="E449" i="14"/>
  <c r="E68" i="8" s="1"/>
  <c r="M448" i="14"/>
  <c r="L448" i="14"/>
  <c r="I449" i="14"/>
  <c r="F450" i="14" s="1"/>
  <c r="H449" i="14" l="1"/>
  <c r="O450" i="14"/>
  <c r="E450" i="14"/>
  <c r="E69" i="8" s="1"/>
  <c r="M449" i="14"/>
  <c r="L449" i="14"/>
  <c r="I450" i="14"/>
  <c r="F451" i="14" s="1"/>
  <c r="E70" i="8" l="1"/>
  <c r="H450" i="14"/>
  <c r="E451" i="14"/>
  <c r="O451" i="14"/>
  <c r="L450" i="14"/>
  <c r="M450" i="14"/>
  <c r="I451" i="14"/>
  <c r="F452" i="14" s="1"/>
  <c r="E71" i="8" l="1"/>
  <c r="H451" i="14"/>
  <c r="E452" i="14"/>
  <c r="O452" i="14"/>
  <c r="L451" i="14"/>
  <c r="M451" i="14"/>
  <c r="I452" i="14"/>
  <c r="F453" i="14" s="1"/>
  <c r="H452" i="14" l="1"/>
  <c r="O453" i="14"/>
  <c r="E453" i="14"/>
  <c r="E72" i="8" s="1"/>
  <c r="M452" i="14"/>
  <c r="L452" i="14"/>
  <c r="I453" i="14"/>
  <c r="F454" i="14" s="1"/>
  <c r="E73" i="8" l="1"/>
  <c r="H453" i="14"/>
  <c r="E454" i="14"/>
  <c r="O454" i="14"/>
  <c r="M453" i="14"/>
  <c r="I454" i="14"/>
  <c r="F455" i="14" s="1"/>
  <c r="L453" i="14"/>
  <c r="E74" i="8" l="1"/>
  <c r="H454" i="14"/>
  <c r="E455" i="14"/>
  <c r="O455" i="14"/>
  <c r="L454" i="14"/>
  <c r="M454" i="14"/>
  <c r="I455" i="14"/>
  <c r="F456" i="14" s="1"/>
  <c r="H455" i="14" l="1"/>
  <c r="O456" i="14"/>
  <c r="E456" i="14"/>
  <c r="E75" i="8" s="1"/>
  <c r="L455" i="14"/>
  <c r="M455" i="14"/>
  <c r="I456" i="14"/>
  <c r="F457" i="14" s="1"/>
  <c r="H456" i="14" l="1"/>
  <c r="O457" i="14"/>
  <c r="E457" i="14"/>
  <c r="E76" i="8" s="1"/>
  <c r="L456" i="14"/>
  <c r="M456" i="14"/>
  <c r="I457" i="14"/>
  <c r="F458" i="14" s="1"/>
  <c r="H457" i="14" l="1"/>
  <c r="O458" i="14"/>
  <c r="E458" i="14"/>
  <c r="L457" i="14"/>
  <c r="M457" i="14"/>
  <c r="I458" i="14"/>
  <c r="F459" i="14" s="1"/>
  <c r="E77" i="8" l="1"/>
  <c r="H458" i="14"/>
  <c r="O459" i="14"/>
  <c r="E459" i="14"/>
  <c r="E78" i="8" s="1"/>
  <c r="M458" i="14"/>
  <c r="L458" i="14"/>
  <c r="I459" i="14"/>
  <c r="F460" i="14" s="1"/>
  <c r="H459" i="14" l="1"/>
  <c r="O460" i="14"/>
  <c r="E460" i="14"/>
  <c r="E79" i="8" s="1"/>
  <c r="M459" i="14"/>
  <c r="L459" i="14"/>
  <c r="I460" i="14"/>
  <c r="F461" i="14" s="1"/>
  <c r="E80" i="8" l="1"/>
  <c r="H460" i="14"/>
  <c r="E461" i="14"/>
  <c r="O461" i="14"/>
  <c r="L460" i="14"/>
  <c r="M460" i="14"/>
  <c r="I461" i="14"/>
  <c r="F462" i="14" s="1"/>
  <c r="H461" i="14" l="1"/>
  <c r="O462" i="14"/>
  <c r="E462" i="14"/>
  <c r="E81" i="8" s="1"/>
  <c r="M461" i="14"/>
  <c r="L461" i="14"/>
  <c r="I462" i="14"/>
  <c r="F463" i="14" s="1"/>
  <c r="H462" i="14" l="1"/>
  <c r="O463" i="14"/>
  <c r="E463" i="14"/>
  <c r="E82" i="8" s="1"/>
  <c r="L462" i="14"/>
  <c r="M462" i="14"/>
  <c r="I463" i="14"/>
  <c r="F464" i="14" s="1"/>
  <c r="H463" i="14" l="1"/>
  <c r="O464" i="14"/>
  <c r="E464" i="14"/>
  <c r="E83" i="8" s="1"/>
  <c r="L463" i="14"/>
  <c r="M463" i="14"/>
  <c r="I464" i="14"/>
  <c r="F465" i="14" s="1"/>
  <c r="H464" i="14" l="1"/>
  <c r="O465" i="14"/>
  <c r="E465" i="14"/>
  <c r="M464" i="14"/>
  <c r="L464" i="14"/>
  <c r="I465" i="14"/>
  <c r="F466" i="14" s="1"/>
  <c r="E84" i="8" l="1"/>
  <c r="H465" i="14"/>
  <c r="O466" i="14"/>
  <c r="E466" i="14"/>
  <c r="M465" i="14"/>
  <c r="L465" i="14"/>
  <c r="I466" i="14"/>
  <c r="F467" i="14" s="1"/>
  <c r="E85" i="8" l="1"/>
  <c r="H466" i="14"/>
  <c r="O467" i="14"/>
  <c r="E467" i="14"/>
  <c r="L466" i="14"/>
  <c r="M466" i="14"/>
  <c r="I467" i="14"/>
  <c r="F468" i="14" s="1"/>
  <c r="E86" i="8" l="1"/>
  <c r="H467" i="14"/>
  <c r="O468" i="14"/>
  <c r="E468" i="14"/>
  <c r="E87" i="8" s="1"/>
  <c r="M467" i="14"/>
  <c r="L467" i="14"/>
  <c r="I468" i="14"/>
  <c r="F469" i="14" s="1"/>
  <c r="H468" i="14" l="1"/>
  <c r="O469" i="14"/>
  <c r="E469" i="14"/>
  <c r="E88" i="8" s="1"/>
  <c r="L468" i="14"/>
  <c r="M468" i="14"/>
  <c r="I469" i="14"/>
  <c r="F470" i="14" s="1"/>
  <c r="E89" i="8" l="1"/>
  <c r="H469" i="14"/>
  <c r="E470" i="14"/>
  <c r="O470" i="14"/>
  <c r="M469" i="14"/>
  <c r="L469" i="14"/>
  <c r="I470" i="14"/>
  <c r="F471" i="14" s="1"/>
  <c r="H470" i="14" l="1"/>
  <c r="O471" i="14"/>
  <c r="E471" i="14"/>
  <c r="E90" i="8" s="1"/>
  <c r="L470" i="14"/>
  <c r="M470" i="14"/>
  <c r="I471" i="14"/>
  <c r="F472" i="14" s="1"/>
  <c r="H471" i="14" l="1"/>
  <c r="O472" i="14"/>
  <c r="E472" i="14"/>
  <c r="E91" i="8" s="1"/>
  <c r="I472" i="14"/>
  <c r="F473" i="14" s="1"/>
  <c r="L471" i="14"/>
  <c r="M471" i="14"/>
  <c r="E92" i="8" l="1"/>
  <c r="H472" i="14"/>
  <c r="E473" i="14"/>
  <c r="O473" i="14"/>
  <c r="M472" i="14"/>
  <c r="L472" i="14"/>
  <c r="I473" i="14"/>
  <c r="F474" i="14" s="1"/>
  <c r="H473" i="14" l="1"/>
  <c r="O474" i="14"/>
  <c r="E474" i="14"/>
  <c r="E93" i="8" s="1"/>
  <c r="M473" i="14"/>
  <c r="L473" i="14"/>
  <c r="I474" i="14"/>
  <c r="F475" i="14" s="1"/>
  <c r="E94" i="8" l="1"/>
  <c r="H474" i="14"/>
  <c r="E475" i="14"/>
  <c r="O475" i="14"/>
  <c r="M474" i="14"/>
  <c r="L474" i="14"/>
  <c r="I475" i="14"/>
  <c r="F476" i="14" s="1"/>
  <c r="H475" i="14" l="1"/>
  <c r="O476" i="14"/>
  <c r="E476" i="14"/>
  <c r="E95" i="8" s="1"/>
  <c r="I476" i="14"/>
  <c r="F477" i="14" s="1"/>
  <c r="L475" i="14"/>
  <c r="M475" i="14"/>
  <c r="H476" i="14" l="1"/>
  <c r="O477" i="14"/>
  <c r="E477" i="14"/>
  <c r="E96" i="8" s="1"/>
  <c r="M476" i="14"/>
  <c r="L476" i="14"/>
  <c r="I477" i="14"/>
  <c r="F478" i="14" s="1"/>
  <c r="E97" i="8" l="1"/>
  <c r="H477" i="14"/>
  <c r="O478" i="14"/>
  <c r="E478" i="14"/>
  <c r="M477" i="14"/>
  <c r="L477" i="14"/>
  <c r="I478" i="14"/>
  <c r="F479" i="14" s="1"/>
  <c r="H478" i="14" l="1"/>
  <c r="O479" i="14"/>
  <c r="E479" i="14"/>
  <c r="E98" i="8" s="1"/>
  <c r="L478" i="14"/>
  <c r="M478" i="14"/>
  <c r="I479" i="14"/>
  <c r="F480" i="14" s="1"/>
  <c r="E99" i="8" l="1"/>
  <c r="H479" i="14"/>
  <c r="E480" i="14"/>
  <c r="O480" i="14"/>
  <c r="L479" i="14"/>
  <c r="I480" i="14"/>
  <c r="F481" i="14" s="1"/>
  <c r="M479" i="14"/>
  <c r="H480" i="14" l="1"/>
  <c r="O481" i="14"/>
  <c r="E481" i="14"/>
  <c r="E100" i="8" s="1"/>
  <c r="M480" i="14"/>
  <c r="L480" i="14"/>
  <c r="I481" i="14"/>
  <c r="F482" i="14" s="1"/>
  <c r="E101" i="8" l="1"/>
  <c r="H481" i="14"/>
  <c r="E482" i="14"/>
  <c r="O482" i="14"/>
  <c r="M481" i="14"/>
  <c r="L481" i="14"/>
  <c r="I482" i="14"/>
  <c r="F483" i="14" s="1"/>
  <c r="H482" i="14" l="1"/>
  <c r="O483" i="14"/>
  <c r="E483" i="14"/>
  <c r="L482" i="14"/>
  <c r="M482" i="14"/>
  <c r="I483" i="14"/>
  <c r="F484" i="14" s="1"/>
  <c r="E102" i="8" l="1"/>
  <c r="H483" i="14"/>
  <c r="O484" i="14"/>
  <c r="E484" i="14"/>
  <c r="M483" i="14"/>
  <c r="I484" i="14"/>
  <c r="F485" i="14" s="1"/>
  <c r="L483" i="14"/>
  <c r="E103" i="8" l="1"/>
  <c r="H484" i="14"/>
  <c r="O485" i="14"/>
  <c r="E485" i="14"/>
  <c r="E104" i="8" s="1"/>
  <c r="L484" i="14"/>
  <c r="M484" i="14"/>
  <c r="I485" i="14"/>
  <c r="F486" i="14" s="1"/>
  <c r="E105" i="8" l="1"/>
  <c r="H485" i="14"/>
  <c r="E486" i="14"/>
  <c r="O486" i="14"/>
  <c r="M485" i="14"/>
  <c r="L485" i="14"/>
  <c r="I486" i="14"/>
  <c r="F487" i="14" s="1"/>
  <c r="H486" i="14" l="1"/>
  <c r="O487" i="14"/>
  <c r="E487" i="14"/>
  <c r="L486" i="14"/>
  <c r="M486" i="14"/>
  <c r="I487" i="14"/>
  <c r="F488" i="14" s="1"/>
  <c r="E106" i="8" l="1"/>
  <c r="H487" i="14"/>
  <c r="O488" i="14"/>
  <c r="E488" i="14"/>
  <c r="E107" i="8" s="1"/>
  <c r="L487" i="14"/>
  <c r="I488" i="14"/>
  <c r="F489" i="14" s="1"/>
  <c r="M487" i="14"/>
  <c r="H488" i="14" l="1"/>
  <c r="O489" i="14"/>
  <c r="E489" i="14"/>
  <c r="E108" i="8" s="1"/>
  <c r="M488" i="14"/>
  <c r="L488" i="14"/>
  <c r="I489" i="14"/>
  <c r="F490" i="14" s="1"/>
  <c r="E109" i="8" l="1"/>
  <c r="H489" i="14"/>
  <c r="O490" i="14"/>
  <c r="E490" i="14"/>
  <c r="M489" i="14"/>
  <c r="L489" i="14"/>
  <c r="I490" i="14"/>
  <c r="F491" i="14" s="1"/>
  <c r="H490" i="14" l="1"/>
  <c r="O491" i="14"/>
  <c r="E491" i="14"/>
  <c r="E110" i="8" s="1"/>
  <c r="M490" i="14"/>
  <c r="L490" i="14"/>
  <c r="I491" i="14"/>
  <c r="F492" i="14" s="1"/>
  <c r="E111" i="8" l="1"/>
  <c r="H491" i="14"/>
  <c r="O492" i="14"/>
  <c r="E492" i="14"/>
  <c r="L491" i="14"/>
  <c r="I492" i="14"/>
  <c r="F493" i="14" s="1"/>
  <c r="M491" i="14"/>
  <c r="H492" i="14" l="1"/>
  <c r="O493" i="14"/>
  <c r="E493" i="14"/>
  <c r="M492" i="14"/>
  <c r="L492" i="14"/>
  <c r="I493" i="14"/>
  <c r="F494" i="14" s="1"/>
  <c r="E112" i="8" l="1"/>
  <c r="H493" i="14"/>
  <c r="O494" i="14"/>
  <c r="E494" i="14"/>
  <c r="E113" i="8" s="1"/>
  <c r="L493" i="14"/>
  <c r="M493" i="14"/>
  <c r="I494" i="14"/>
  <c r="F495" i="14" s="1"/>
  <c r="H494" i="14" l="1"/>
  <c r="O495" i="14"/>
  <c r="E495" i="14"/>
  <c r="E114" i="8" s="1"/>
  <c r="L494" i="14"/>
  <c r="M494" i="14"/>
  <c r="I495" i="14"/>
  <c r="F496" i="14" s="1"/>
  <c r="H495" i="14" l="1"/>
  <c r="O496" i="14"/>
  <c r="E496" i="14"/>
  <c r="E115" i="8" s="1"/>
  <c r="I496" i="14"/>
  <c r="F497" i="14" s="1"/>
  <c r="L495" i="14"/>
  <c r="M495" i="14"/>
  <c r="E116" i="8" l="1"/>
  <c r="H496" i="14"/>
  <c r="O497" i="14"/>
  <c r="E497" i="14"/>
  <c r="L496" i="14"/>
  <c r="M496" i="14"/>
  <c r="I497" i="14"/>
  <c r="F498" i="14" s="1"/>
  <c r="E117" i="8" l="1"/>
  <c r="H497" i="14"/>
  <c r="O498" i="14"/>
  <c r="E498" i="14"/>
  <c r="L497" i="14"/>
  <c r="I498" i="14"/>
  <c r="F499" i="14" s="1"/>
  <c r="M497" i="14"/>
  <c r="H498" i="14" l="1"/>
  <c r="O499" i="14"/>
  <c r="E499" i="14"/>
  <c r="E118" i="8" s="1"/>
  <c r="L498" i="14"/>
  <c r="M498" i="14"/>
  <c r="I499" i="14"/>
  <c r="F500" i="14" s="1"/>
  <c r="E119" i="8" l="1"/>
  <c r="H499" i="14"/>
  <c r="O500" i="14"/>
  <c r="E500" i="14"/>
  <c r="M499" i="14"/>
  <c r="L499" i="14"/>
  <c r="I500" i="14"/>
  <c r="F501" i="14" s="1"/>
  <c r="H500" i="14" l="1"/>
  <c r="O501" i="14"/>
  <c r="E501" i="14"/>
  <c r="E120" i="8" s="1"/>
  <c r="I501" i="14"/>
  <c r="F502" i="14" s="1"/>
  <c r="M500" i="14"/>
  <c r="L500" i="14"/>
  <c r="E121" i="8" l="1"/>
  <c r="H501" i="14"/>
  <c r="O502" i="14"/>
  <c r="E502" i="14"/>
  <c r="L501" i="14"/>
  <c r="M501" i="14"/>
  <c r="I502" i="14"/>
  <c r="F503" i="14" s="1"/>
  <c r="H502" i="14" l="1"/>
  <c r="O503" i="14"/>
  <c r="E503" i="14"/>
  <c r="L502" i="14"/>
  <c r="M502" i="14"/>
  <c r="I503" i="14"/>
  <c r="F504" i="14" s="1"/>
  <c r="E122" i="8" l="1"/>
  <c r="H503" i="14"/>
  <c r="O504" i="14"/>
  <c r="E504" i="14"/>
  <c r="M503" i="14"/>
  <c r="L503" i="14"/>
  <c r="I504" i="14"/>
  <c r="F505" i="14" s="1"/>
  <c r="E123" i="8" l="1"/>
  <c r="H504" i="14"/>
  <c r="O505" i="14"/>
  <c r="E505" i="14"/>
  <c r="E124" i="8" s="1"/>
  <c r="M504" i="14"/>
  <c r="I505" i="14"/>
  <c r="F506" i="14" s="1"/>
  <c r="L504" i="14"/>
  <c r="E125" i="8" l="1"/>
  <c r="H505" i="14"/>
  <c r="E506" i="14"/>
  <c r="O506" i="14"/>
  <c r="M505" i="14"/>
  <c r="L505" i="14"/>
  <c r="I506" i="14"/>
  <c r="F507" i="14" s="1"/>
  <c r="E126" i="8" l="1"/>
  <c r="H506" i="14"/>
  <c r="E507" i="14"/>
  <c r="O507" i="14"/>
  <c r="M506" i="14"/>
  <c r="L506" i="14"/>
  <c r="I507" i="14"/>
  <c r="F508" i="14" s="1"/>
  <c r="H507" i="14" l="1"/>
  <c r="O508" i="14"/>
  <c r="E508" i="14"/>
  <c r="E127" i="8" s="1"/>
  <c r="M507" i="14"/>
  <c r="L507" i="14"/>
  <c r="I508" i="14"/>
  <c r="F509" i="14" s="1"/>
  <c r="E128" i="8" l="1"/>
  <c r="H508" i="14"/>
  <c r="E509" i="14"/>
  <c r="O509" i="14"/>
  <c r="L508" i="14"/>
  <c r="I509" i="14"/>
  <c r="F510" i="14" s="1"/>
  <c r="M508" i="14"/>
  <c r="E129" i="8" l="1"/>
  <c r="H509" i="14"/>
  <c r="O510" i="14"/>
  <c r="E510" i="14"/>
  <c r="M509" i="14"/>
  <c r="L509" i="14"/>
  <c r="I510" i="14"/>
  <c r="F511" i="14" s="1"/>
  <c r="E130" i="8" l="1"/>
  <c r="H510" i="14"/>
  <c r="O511" i="14"/>
  <c r="E511" i="14"/>
  <c r="L510" i="14"/>
  <c r="I511" i="14"/>
  <c r="F512" i="14" s="1"/>
  <c r="M510" i="14"/>
  <c r="E131" i="8" l="1"/>
  <c r="H511" i="14"/>
  <c r="O512" i="14"/>
  <c r="E512" i="14"/>
  <c r="L511" i="14"/>
  <c r="M511" i="14"/>
  <c r="I512" i="14"/>
  <c r="F513" i="14" s="1"/>
  <c r="H512" i="14" l="1"/>
  <c r="O513" i="14"/>
  <c r="E513" i="14"/>
  <c r="M512" i="14"/>
  <c r="L512" i="14"/>
  <c r="I513" i="14"/>
  <c r="F514" i="14" s="1"/>
  <c r="E132" i="8" l="1"/>
  <c r="H513" i="14"/>
  <c r="O514" i="14"/>
  <c r="E514" i="14"/>
  <c r="E133" i="8" s="1"/>
  <c r="M513" i="14"/>
  <c r="L513" i="14"/>
  <c r="I514" i="14"/>
  <c r="F515" i="14" s="1"/>
  <c r="H514" i="14" l="1"/>
  <c r="O515" i="14"/>
  <c r="E515" i="14"/>
  <c r="E134" i="8" s="1"/>
  <c r="M514" i="14"/>
  <c r="I515" i="14"/>
  <c r="F516" i="14" s="1"/>
  <c r="L514" i="14"/>
  <c r="H515" i="14" l="1"/>
  <c r="O516" i="14"/>
  <c r="E516" i="14"/>
  <c r="E135" i="8" s="1"/>
  <c r="M515" i="14"/>
  <c r="L515" i="14"/>
  <c r="I516" i="14"/>
  <c r="F517" i="14" s="1"/>
  <c r="H516" i="14" l="1"/>
  <c r="O517" i="14"/>
  <c r="E517" i="14"/>
  <c r="E136" i="8" s="1"/>
  <c r="M516" i="14"/>
  <c r="L516" i="14"/>
  <c r="I517" i="14"/>
  <c r="F518" i="14" s="1"/>
  <c r="H517" i="14" l="1"/>
  <c r="O518" i="14"/>
  <c r="E518" i="14"/>
  <c r="E137" i="8" s="1"/>
  <c r="L517" i="14"/>
  <c r="M517" i="14"/>
  <c r="I518" i="14"/>
  <c r="F519" i="14" s="1"/>
  <c r="H518" i="14" l="1"/>
  <c r="O519" i="14"/>
  <c r="E519" i="14"/>
  <c r="E138" i="8" s="1"/>
  <c r="L518" i="14"/>
  <c r="M518" i="14"/>
  <c r="I519" i="14"/>
  <c r="F520" i="14" s="1"/>
  <c r="E152" i="8" l="1"/>
  <c r="E160" i="8"/>
  <c r="H519" i="14"/>
  <c r="E520" i="14"/>
  <c r="E139" i="8" s="1"/>
  <c r="O520" i="14"/>
  <c r="L519" i="14"/>
  <c r="M519" i="14"/>
  <c r="I520" i="14"/>
  <c r="F521" i="14" s="1"/>
  <c r="E153" i="8" l="1"/>
  <c r="E154" i="8"/>
  <c r="E161" i="8"/>
  <c r="H520" i="14"/>
  <c r="F522" i="14"/>
  <c r="O521" i="14"/>
  <c r="E521" i="14"/>
  <c r="E140" i="8" s="1"/>
  <c r="L520" i="14"/>
  <c r="I521" i="14"/>
  <c r="M520" i="14"/>
  <c r="E147" i="8" l="1"/>
  <c r="E146" i="8"/>
  <c r="E162" i="8"/>
  <c r="H521" i="14"/>
  <c r="E167" i="8"/>
  <c r="E522" i="14"/>
  <c r="O522" i="14"/>
  <c r="I522" i="14"/>
  <c r="F523" i="14" s="1"/>
  <c r="M521" i="14"/>
  <c r="L521" i="14"/>
  <c r="E141" i="8" l="1"/>
  <c r="E155" i="8"/>
  <c r="E158" i="8"/>
  <c r="E163" i="8"/>
  <c r="H522" i="14"/>
  <c r="E168" i="8"/>
  <c r="O523" i="14"/>
  <c r="O3" i="14" s="1"/>
  <c r="E523" i="14"/>
  <c r="E144" i="8" s="1"/>
  <c r="M522" i="14"/>
  <c r="I523" i="14"/>
  <c r="L522" i="14"/>
  <c r="E142" i="8" l="1"/>
  <c r="E143" i="8"/>
  <c r="E150" i="8"/>
  <c r="E145" i="8"/>
  <c r="E148" i="8"/>
  <c r="E149" i="8"/>
  <c r="E157" i="8"/>
  <c r="E151" i="8"/>
  <c r="E156" i="8"/>
  <c r="E165" i="8"/>
  <c r="E159" i="8"/>
  <c r="E164" i="8"/>
  <c r="E170" i="8"/>
  <c r="E166" i="8"/>
  <c r="E169" i="8"/>
  <c r="D18" i="8"/>
  <c r="D16" i="8"/>
  <c r="D17" i="8"/>
  <c r="D15" i="8"/>
  <c r="D21" i="8"/>
  <c r="D20" i="8"/>
  <c r="D22" i="8"/>
  <c r="D14" i="8"/>
  <c r="D19" i="8"/>
  <c r="D23" i="8"/>
  <c r="D24" i="8"/>
  <c r="D26" i="8"/>
  <c r="D25" i="8"/>
  <c r="D27" i="8"/>
  <c r="D28" i="8"/>
  <c r="D29" i="8"/>
  <c r="D30" i="8"/>
  <c r="D31" i="8"/>
  <c r="D32" i="8"/>
  <c r="D33" i="8"/>
  <c r="D34" i="8"/>
  <c r="D37" i="8"/>
  <c r="D35" i="8"/>
  <c r="D38" i="8"/>
  <c r="D36" i="8"/>
  <c r="D39" i="8"/>
  <c r="D40" i="8"/>
  <c r="D42" i="8"/>
  <c r="D43" i="8"/>
  <c r="D41" i="8"/>
  <c r="D44" i="8"/>
  <c r="D45" i="8"/>
  <c r="D48" i="8"/>
  <c r="D46" i="8"/>
  <c r="D47" i="8"/>
  <c r="D49" i="8"/>
  <c r="D50" i="8"/>
  <c r="D51" i="8"/>
  <c r="D54" i="8"/>
  <c r="D55" i="8"/>
  <c r="D52" i="8"/>
  <c r="D53" i="8"/>
  <c r="D60" i="8"/>
  <c r="D56" i="8"/>
  <c r="D58" i="8"/>
  <c r="D57" i="8"/>
  <c r="D59" i="8"/>
  <c r="D62" i="8"/>
  <c r="D61" i="8"/>
  <c r="D63" i="8"/>
  <c r="D65" i="8"/>
  <c r="D67" i="8"/>
  <c r="D64" i="8"/>
  <c r="D66" i="8"/>
  <c r="D71" i="8"/>
  <c r="D68" i="8"/>
  <c r="D69" i="8"/>
  <c r="D70" i="8"/>
  <c r="D72" i="8"/>
  <c r="D74" i="8"/>
  <c r="D73" i="8"/>
  <c r="D75" i="8"/>
  <c r="D76" i="8"/>
  <c r="D78" i="8"/>
  <c r="D77" i="8"/>
  <c r="H523" i="14"/>
  <c r="D150" i="8"/>
  <c r="D133" i="8"/>
  <c r="D148" i="8"/>
  <c r="D93" i="8"/>
  <c r="D84" i="8"/>
  <c r="D91" i="8"/>
  <c r="D109" i="8"/>
  <c r="D90" i="8"/>
  <c r="D160" i="8"/>
  <c r="D162" i="8"/>
  <c r="D158" i="8"/>
  <c r="D86" i="8"/>
  <c r="D80" i="8"/>
  <c r="D169" i="8"/>
  <c r="D111" i="8"/>
  <c r="D103" i="8"/>
  <c r="D116" i="8"/>
  <c r="D163" i="8"/>
  <c r="D96" i="8"/>
  <c r="D85" i="8"/>
  <c r="D123" i="8"/>
  <c r="D159" i="8"/>
  <c r="D89" i="8"/>
  <c r="D139" i="8"/>
  <c r="D127" i="8"/>
  <c r="D147" i="8"/>
  <c r="D167" i="8"/>
  <c r="D104" i="8"/>
  <c r="D119" i="8"/>
  <c r="D130" i="8"/>
  <c r="D112" i="8"/>
  <c r="D140" i="8"/>
  <c r="D170" i="8"/>
  <c r="D87" i="8"/>
  <c r="D122" i="8"/>
  <c r="D118" i="8"/>
  <c r="D108" i="8"/>
  <c r="D95" i="8"/>
  <c r="D132" i="8"/>
  <c r="D155" i="8"/>
  <c r="D124" i="8"/>
  <c r="D144" i="8"/>
  <c r="D137" i="8"/>
  <c r="D106" i="8"/>
  <c r="D161" i="8"/>
  <c r="D168" i="8"/>
  <c r="D83" i="8"/>
  <c r="D154" i="8"/>
  <c r="D121" i="8"/>
  <c r="D166" i="8"/>
  <c r="D142" i="8"/>
  <c r="D110" i="8"/>
  <c r="D149" i="8"/>
  <c r="D152" i="8"/>
  <c r="D114" i="8"/>
  <c r="D102" i="8"/>
  <c r="D134" i="8"/>
  <c r="D99" i="8"/>
  <c r="D125" i="8"/>
  <c r="D79" i="8"/>
  <c r="D136" i="8"/>
  <c r="D153" i="8"/>
  <c r="D138" i="8"/>
  <c r="D157" i="8"/>
  <c r="D117" i="8"/>
  <c r="D100" i="8"/>
  <c r="D113" i="8"/>
  <c r="D115" i="8"/>
  <c r="D146" i="8"/>
  <c r="D151" i="8"/>
  <c r="D94" i="8"/>
  <c r="D92" i="8"/>
  <c r="D135" i="8"/>
  <c r="D107" i="8"/>
  <c r="D101" i="8"/>
  <c r="D82" i="8"/>
  <c r="D98" i="8"/>
  <c r="D129" i="8"/>
  <c r="D126" i="8"/>
  <c r="D165" i="8"/>
  <c r="D141" i="8"/>
  <c r="D120" i="8"/>
  <c r="D156" i="8"/>
  <c r="D88" i="8"/>
  <c r="D128" i="8"/>
  <c r="D105" i="8"/>
  <c r="D145" i="8"/>
  <c r="D97" i="8"/>
  <c r="D164" i="8"/>
  <c r="D81" i="8"/>
  <c r="D131" i="8"/>
  <c r="D143" i="8"/>
  <c r="M523" i="14"/>
  <c r="L523" i="14"/>
  <c r="I74" i="8" l="1"/>
  <c r="H74" i="8"/>
  <c r="I66" i="8"/>
  <c r="H66" i="8"/>
  <c r="I62" i="8"/>
  <c r="H62" i="8"/>
  <c r="H53" i="8"/>
  <c r="I53" i="8"/>
  <c r="H49" i="8"/>
  <c r="I49" i="8"/>
  <c r="H41" i="8"/>
  <c r="I41" i="8"/>
  <c r="I38" i="8"/>
  <c r="H38" i="8"/>
  <c r="H31" i="8"/>
  <c r="I31" i="8"/>
  <c r="I26" i="8"/>
  <c r="H26" i="8"/>
  <c r="H20" i="8"/>
  <c r="I20" i="8"/>
  <c r="I77" i="8"/>
  <c r="H77" i="8"/>
  <c r="H72" i="8"/>
  <c r="I72" i="8"/>
  <c r="I64" i="8"/>
  <c r="H64" i="8"/>
  <c r="I59" i="8"/>
  <c r="H59" i="8"/>
  <c r="I52" i="8"/>
  <c r="H52" i="8"/>
  <c r="I47" i="8"/>
  <c r="H47" i="8"/>
  <c r="I43" i="8"/>
  <c r="H43" i="8"/>
  <c r="H35" i="8"/>
  <c r="I35" i="8"/>
  <c r="I30" i="8"/>
  <c r="H30" i="8"/>
  <c r="H24" i="8"/>
  <c r="I24" i="8"/>
  <c r="H21" i="8"/>
  <c r="I21" i="8"/>
  <c r="I78" i="8"/>
  <c r="H78" i="8"/>
  <c r="H70" i="8"/>
  <c r="I70" i="8"/>
  <c r="I67" i="8"/>
  <c r="H67" i="8"/>
  <c r="I57" i="8"/>
  <c r="H57" i="8"/>
  <c r="H55" i="8"/>
  <c r="I55" i="8"/>
  <c r="I46" i="8"/>
  <c r="H46" i="8"/>
  <c r="H42" i="8"/>
  <c r="I42" i="8"/>
  <c r="H37" i="8"/>
  <c r="I37" i="8"/>
  <c r="H29" i="8"/>
  <c r="I29" i="8"/>
  <c r="H23" i="8"/>
  <c r="I23" i="8"/>
  <c r="H15" i="8"/>
  <c r="I15" i="8"/>
  <c r="I76" i="8"/>
  <c r="H76" i="8"/>
  <c r="H69" i="8"/>
  <c r="I69" i="8"/>
  <c r="I65" i="8"/>
  <c r="H65" i="8"/>
  <c r="I58" i="8"/>
  <c r="H58" i="8"/>
  <c r="H54" i="8"/>
  <c r="I54" i="8"/>
  <c r="I48" i="8"/>
  <c r="H48" i="8"/>
  <c r="H40" i="8"/>
  <c r="I40" i="8"/>
  <c r="I34" i="8"/>
  <c r="H34" i="8"/>
  <c r="I28" i="8"/>
  <c r="H28" i="8"/>
  <c r="H19" i="8"/>
  <c r="I19" i="8"/>
  <c r="H17" i="8"/>
  <c r="I17" i="8"/>
  <c r="H75" i="8"/>
  <c r="I75" i="8"/>
  <c r="H68" i="8"/>
  <c r="I68" i="8"/>
  <c r="I63" i="8"/>
  <c r="H63" i="8"/>
  <c r="I56" i="8"/>
  <c r="H56" i="8"/>
  <c r="I51" i="8"/>
  <c r="H51" i="8"/>
  <c r="H45" i="8"/>
  <c r="I45" i="8"/>
  <c r="H39" i="8"/>
  <c r="I39" i="8"/>
  <c r="I33" i="8"/>
  <c r="H33" i="8"/>
  <c r="I27" i="8"/>
  <c r="H27" i="8"/>
  <c r="H14" i="8"/>
  <c r="I14" i="8"/>
  <c r="H16" i="8"/>
  <c r="I16" i="8"/>
  <c r="I73" i="8"/>
  <c r="H73" i="8"/>
  <c r="H71" i="8"/>
  <c r="I71" i="8"/>
  <c r="I61" i="8"/>
  <c r="H61" i="8"/>
  <c r="H60" i="8"/>
  <c r="I60" i="8"/>
  <c r="I50" i="8"/>
  <c r="H50" i="8"/>
  <c r="H44" i="8"/>
  <c r="I44" i="8"/>
  <c r="I36" i="8"/>
  <c r="H36" i="8"/>
  <c r="H32" i="8"/>
  <c r="I32" i="8"/>
  <c r="H25" i="8"/>
  <c r="I25" i="8"/>
  <c r="H22" i="8"/>
  <c r="I22" i="8"/>
  <c r="H18" i="8"/>
  <c r="I18" i="8"/>
  <c r="I143" i="8"/>
  <c r="H143" i="8"/>
  <c r="H131" i="8"/>
  <c r="I131" i="8"/>
  <c r="H145" i="8"/>
  <c r="I145" i="8"/>
  <c r="H156" i="8"/>
  <c r="I156" i="8"/>
  <c r="I126" i="8"/>
  <c r="H126" i="8"/>
  <c r="I101" i="8"/>
  <c r="H101" i="8"/>
  <c r="I94" i="8"/>
  <c r="H94" i="8"/>
  <c r="H113" i="8"/>
  <c r="I113" i="8"/>
  <c r="H138" i="8"/>
  <c r="I138" i="8"/>
  <c r="H125" i="8"/>
  <c r="I125" i="8"/>
  <c r="H114" i="8"/>
  <c r="I114" i="8"/>
  <c r="H142" i="8"/>
  <c r="I142" i="8"/>
  <c r="H83" i="8"/>
  <c r="I83" i="8"/>
  <c r="I137" i="8"/>
  <c r="H137" i="8"/>
  <c r="I132" i="8"/>
  <c r="H132" i="8"/>
  <c r="H122" i="8"/>
  <c r="I122" i="8"/>
  <c r="I112" i="8"/>
  <c r="H112" i="8"/>
  <c r="I167" i="8"/>
  <c r="H167" i="8"/>
  <c r="I89" i="8"/>
  <c r="H89" i="8"/>
  <c r="I96" i="8"/>
  <c r="H96" i="8"/>
  <c r="H111" i="8"/>
  <c r="I111" i="8"/>
  <c r="H158" i="8"/>
  <c r="I158" i="8"/>
  <c r="I109" i="8"/>
  <c r="H109" i="8"/>
  <c r="H148" i="8"/>
  <c r="I148" i="8"/>
  <c r="H81" i="8"/>
  <c r="I81" i="8"/>
  <c r="I105" i="8"/>
  <c r="H105" i="8"/>
  <c r="I120" i="8"/>
  <c r="H120" i="8"/>
  <c r="H129" i="8"/>
  <c r="I129" i="8"/>
  <c r="H107" i="8"/>
  <c r="I107" i="8"/>
  <c r="I151" i="8"/>
  <c r="H151" i="8"/>
  <c r="I100" i="8"/>
  <c r="H100" i="8"/>
  <c r="I153" i="8"/>
  <c r="H153" i="8"/>
  <c r="I99" i="8"/>
  <c r="H99" i="8"/>
  <c r="I152" i="8"/>
  <c r="H152" i="8"/>
  <c r="I166" i="8"/>
  <c r="H166" i="8"/>
  <c r="H168" i="8"/>
  <c r="I168" i="8"/>
  <c r="I144" i="8"/>
  <c r="H144" i="8"/>
  <c r="I95" i="8"/>
  <c r="H95" i="8"/>
  <c r="H87" i="8"/>
  <c r="I87" i="8"/>
  <c r="I130" i="8"/>
  <c r="H130" i="8"/>
  <c r="H147" i="8"/>
  <c r="I147" i="8"/>
  <c r="I159" i="8"/>
  <c r="H159" i="8"/>
  <c r="H163" i="8"/>
  <c r="I163" i="8"/>
  <c r="H169" i="8"/>
  <c r="I169" i="8"/>
  <c r="H162" i="8"/>
  <c r="I162" i="8"/>
  <c r="H91" i="8"/>
  <c r="I91" i="8"/>
  <c r="H133" i="8"/>
  <c r="I133" i="8"/>
  <c r="I97" i="8"/>
  <c r="H97" i="8"/>
  <c r="I164" i="8"/>
  <c r="H164" i="8"/>
  <c r="I128" i="8"/>
  <c r="H128" i="8"/>
  <c r="I141" i="8"/>
  <c r="H141" i="8"/>
  <c r="I98" i="8"/>
  <c r="H98" i="8"/>
  <c r="I135" i="8"/>
  <c r="H135" i="8"/>
  <c r="I146" i="8"/>
  <c r="H146" i="8"/>
  <c r="H117" i="8"/>
  <c r="I117" i="8"/>
  <c r="I136" i="8"/>
  <c r="H136" i="8"/>
  <c r="I134" i="8"/>
  <c r="H134" i="8"/>
  <c r="H149" i="8"/>
  <c r="I149" i="8"/>
  <c r="I121" i="8"/>
  <c r="H121" i="8"/>
  <c r="H161" i="8"/>
  <c r="I161" i="8"/>
  <c r="I124" i="8"/>
  <c r="H124" i="8"/>
  <c r="H108" i="8"/>
  <c r="I108" i="8"/>
  <c r="I170" i="8"/>
  <c r="H170" i="8"/>
  <c r="I119" i="8"/>
  <c r="H119" i="8"/>
  <c r="H127" i="8"/>
  <c r="I127" i="8"/>
  <c r="I123" i="8"/>
  <c r="H123" i="8"/>
  <c r="I116" i="8"/>
  <c r="H116" i="8"/>
  <c r="I80" i="8"/>
  <c r="H80" i="8"/>
  <c r="I160" i="8"/>
  <c r="H160" i="8"/>
  <c r="I84" i="8"/>
  <c r="H84" i="8"/>
  <c r="H150" i="8"/>
  <c r="I150" i="8"/>
  <c r="H88" i="8"/>
  <c r="I88" i="8"/>
  <c r="H165" i="8"/>
  <c r="I165" i="8"/>
  <c r="I82" i="8"/>
  <c r="H82" i="8"/>
  <c r="I92" i="8"/>
  <c r="H92" i="8"/>
  <c r="I115" i="8"/>
  <c r="H115" i="8"/>
  <c r="H157" i="8"/>
  <c r="I157" i="8"/>
  <c r="H79" i="8"/>
  <c r="I79" i="8"/>
  <c r="H102" i="8"/>
  <c r="I102" i="8"/>
  <c r="I110" i="8"/>
  <c r="H110" i="8"/>
  <c r="H154" i="8"/>
  <c r="I154" i="8"/>
  <c r="I106" i="8"/>
  <c r="H106" i="8"/>
  <c r="H155" i="8"/>
  <c r="I155" i="8"/>
  <c r="I118" i="8"/>
  <c r="H118" i="8"/>
  <c r="I140" i="8"/>
  <c r="H140" i="8"/>
  <c r="I104" i="8"/>
  <c r="H104" i="8"/>
  <c r="I139" i="8"/>
  <c r="H139" i="8"/>
  <c r="I85" i="8"/>
  <c r="H85" i="8"/>
  <c r="H103" i="8"/>
  <c r="I103" i="8"/>
  <c r="I86" i="8"/>
  <c r="H86" i="8"/>
  <c r="I90" i="8"/>
  <c r="H90" i="8"/>
  <c r="H93" i="8"/>
  <c r="I93" i="8"/>
  <c r="J25" i="8" l="1"/>
  <c r="R25" i="8"/>
  <c r="P25" i="8"/>
  <c r="K25" i="8"/>
  <c r="R44" i="8"/>
  <c r="P44" i="8"/>
  <c r="J44" i="8"/>
  <c r="K44" i="8"/>
  <c r="O61" i="8"/>
  <c r="Q61" i="8"/>
  <c r="R16" i="8"/>
  <c r="J16" i="8"/>
  <c r="P16" i="8"/>
  <c r="K16" i="8"/>
  <c r="O33" i="8"/>
  <c r="Q33" i="8"/>
  <c r="Q51" i="8"/>
  <c r="O51" i="8"/>
  <c r="R68" i="8"/>
  <c r="J68" i="8"/>
  <c r="P68" i="8"/>
  <c r="V68" i="8"/>
  <c r="K68" i="8"/>
  <c r="J19" i="8"/>
  <c r="K19" i="8"/>
  <c r="R19" i="8"/>
  <c r="P19" i="8"/>
  <c r="P40" i="8"/>
  <c r="J40" i="8"/>
  <c r="K40" i="8"/>
  <c r="R40" i="8"/>
  <c r="O58" i="8"/>
  <c r="Q58" i="8"/>
  <c r="Q76" i="8"/>
  <c r="U76" i="8"/>
  <c r="O76" i="8"/>
  <c r="P29" i="8"/>
  <c r="J29" i="8"/>
  <c r="K29" i="8"/>
  <c r="R29" i="8"/>
  <c r="O46" i="8"/>
  <c r="Q46" i="8"/>
  <c r="Q67" i="8"/>
  <c r="U67" i="8"/>
  <c r="O67" i="8"/>
  <c r="J21" i="8"/>
  <c r="K21" i="8"/>
  <c r="R21" i="8"/>
  <c r="P21" i="8"/>
  <c r="J35" i="8"/>
  <c r="P35" i="8"/>
  <c r="K35" i="8"/>
  <c r="R35" i="8"/>
  <c r="O52" i="8"/>
  <c r="Q52" i="8"/>
  <c r="K72" i="8"/>
  <c r="P72" i="8"/>
  <c r="R72" i="8"/>
  <c r="V72" i="8"/>
  <c r="J72" i="8"/>
  <c r="O26" i="8"/>
  <c r="Q26" i="8"/>
  <c r="J41" i="8"/>
  <c r="R41" i="8"/>
  <c r="P41" i="8"/>
  <c r="K41" i="8"/>
  <c r="Q62" i="8"/>
  <c r="O62" i="8"/>
  <c r="Q25" i="8"/>
  <c r="O25" i="8"/>
  <c r="O44" i="8"/>
  <c r="Q44" i="8"/>
  <c r="K61" i="8"/>
  <c r="R61" i="8"/>
  <c r="P61" i="8"/>
  <c r="J61" i="8"/>
  <c r="Q16" i="8"/>
  <c r="O16" i="8"/>
  <c r="R33" i="8"/>
  <c r="K33" i="8"/>
  <c r="J33" i="8"/>
  <c r="P33" i="8"/>
  <c r="R51" i="8"/>
  <c r="J51" i="8"/>
  <c r="P51" i="8"/>
  <c r="K51" i="8"/>
  <c r="Q68" i="8"/>
  <c r="U68" i="8"/>
  <c r="O68" i="8"/>
  <c r="Q19" i="8"/>
  <c r="O19" i="8"/>
  <c r="Q40" i="8"/>
  <c r="O40" i="8"/>
  <c r="R58" i="8"/>
  <c r="K58" i="8"/>
  <c r="J58" i="8"/>
  <c r="P58" i="8"/>
  <c r="K76" i="8"/>
  <c r="V76" i="8"/>
  <c r="R76" i="8"/>
  <c r="J76" i="8"/>
  <c r="P76" i="8"/>
  <c r="O29" i="8"/>
  <c r="Q29" i="8"/>
  <c r="R46" i="8"/>
  <c r="J46" i="8"/>
  <c r="P46" i="8"/>
  <c r="K46" i="8"/>
  <c r="V67" i="8"/>
  <c r="J67" i="8"/>
  <c r="P67" i="8"/>
  <c r="K67" i="8"/>
  <c r="R67" i="8"/>
  <c r="O21" i="8"/>
  <c r="Q21" i="8"/>
  <c r="O35" i="8"/>
  <c r="Q35" i="8"/>
  <c r="J52" i="8"/>
  <c r="P52" i="8"/>
  <c r="K52" i="8"/>
  <c r="R52" i="8"/>
  <c r="U72" i="8"/>
  <c r="Q72" i="8"/>
  <c r="O72" i="8"/>
  <c r="R26" i="8"/>
  <c r="J26" i="8"/>
  <c r="K26" i="8"/>
  <c r="P26" i="8"/>
  <c r="O41" i="8"/>
  <c r="Q41" i="8"/>
  <c r="R62" i="8"/>
  <c r="P62" i="8"/>
  <c r="J62" i="8"/>
  <c r="K62" i="8"/>
  <c r="R18" i="8"/>
  <c r="K18" i="8"/>
  <c r="J18" i="8"/>
  <c r="P18" i="8"/>
  <c r="P32" i="8"/>
  <c r="J32" i="8"/>
  <c r="R32" i="8"/>
  <c r="K32" i="8"/>
  <c r="O50" i="8"/>
  <c r="Q50" i="8"/>
  <c r="P71" i="8"/>
  <c r="K71" i="8"/>
  <c r="V71" i="8"/>
  <c r="J71" i="8"/>
  <c r="R71" i="8"/>
  <c r="K14" i="8"/>
  <c r="R14" i="8"/>
  <c r="P14" i="8"/>
  <c r="J14" i="8"/>
  <c r="K39" i="8"/>
  <c r="P39" i="8"/>
  <c r="R39" i="8"/>
  <c r="J39" i="8"/>
  <c r="O56" i="8"/>
  <c r="Q56" i="8"/>
  <c r="V75" i="8"/>
  <c r="P75" i="8"/>
  <c r="R75" i="8"/>
  <c r="K75" i="8"/>
  <c r="J75" i="8"/>
  <c r="O28" i="8"/>
  <c r="Q28" i="8"/>
  <c r="O48" i="8"/>
  <c r="Q48" i="8"/>
  <c r="Q65" i="8"/>
  <c r="O65" i="8"/>
  <c r="K15" i="8"/>
  <c r="P15" i="8"/>
  <c r="R15" i="8"/>
  <c r="J15" i="8"/>
  <c r="K37" i="8"/>
  <c r="R37" i="8"/>
  <c r="P37" i="8"/>
  <c r="J37" i="8"/>
  <c r="P55" i="8"/>
  <c r="K55" i="8"/>
  <c r="J55" i="8"/>
  <c r="R55" i="8"/>
  <c r="P70" i="8"/>
  <c r="R70" i="8"/>
  <c r="K70" i="8"/>
  <c r="J70" i="8"/>
  <c r="V70" i="8"/>
  <c r="J24" i="8"/>
  <c r="P24" i="8"/>
  <c r="R24" i="8"/>
  <c r="K24" i="8"/>
  <c r="Q43" i="8"/>
  <c r="O43" i="8"/>
  <c r="Q59" i="8"/>
  <c r="O59" i="8"/>
  <c r="Q77" i="8"/>
  <c r="U77" i="8"/>
  <c r="O77" i="8"/>
  <c r="P31" i="8"/>
  <c r="R31" i="8"/>
  <c r="K31" i="8"/>
  <c r="J31" i="8"/>
  <c r="J49" i="8"/>
  <c r="K49" i="8"/>
  <c r="R49" i="8"/>
  <c r="P49" i="8"/>
  <c r="U66" i="8"/>
  <c r="O66" i="8"/>
  <c r="Q66" i="8"/>
  <c r="O18" i="8"/>
  <c r="Q18" i="8"/>
  <c r="O32" i="8"/>
  <c r="Q32" i="8"/>
  <c r="K50" i="8"/>
  <c r="R50" i="8"/>
  <c r="P50" i="8"/>
  <c r="J50" i="8"/>
  <c r="Q71" i="8"/>
  <c r="O71" i="8"/>
  <c r="U71" i="8"/>
  <c r="Q14" i="8"/>
  <c r="O14" i="8"/>
  <c r="Q39" i="8"/>
  <c r="O39" i="8"/>
  <c r="R56" i="8"/>
  <c r="J56" i="8"/>
  <c r="K56" i="8"/>
  <c r="P56" i="8"/>
  <c r="Q75" i="8"/>
  <c r="U75" i="8"/>
  <c r="O75" i="8"/>
  <c r="J28" i="8"/>
  <c r="R28" i="8"/>
  <c r="K28" i="8"/>
  <c r="P28" i="8"/>
  <c r="J48" i="8"/>
  <c r="P48" i="8"/>
  <c r="R48" i="8"/>
  <c r="K48" i="8"/>
  <c r="R65" i="8"/>
  <c r="K65" i="8"/>
  <c r="P65" i="8"/>
  <c r="J65" i="8"/>
  <c r="O15" i="8"/>
  <c r="Q15" i="8"/>
  <c r="O37" i="8"/>
  <c r="Q37" i="8"/>
  <c r="Q55" i="8"/>
  <c r="O55" i="8"/>
  <c r="U70" i="8"/>
  <c r="Q70" i="8"/>
  <c r="O70" i="8"/>
  <c r="Q24" i="8"/>
  <c r="O24" i="8"/>
  <c r="K43" i="8"/>
  <c r="P43" i="8"/>
  <c r="J43" i="8"/>
  <c r="R43" i="8"/>
  <c r="K59" i="8"/>
  <c r="R59" i="8"/>
  <c r="P59" i="8"/>
  <c r="J59" i="8"/>
  <c r="V77" i="8"/>
  <c r="K77" i="8"/>
  <c r="P77" i="8"/>
  <c r="J77" i="8"/>
  <c r="R77" i="8"/>
  <c r="Q31" i="8"/>
  <c r="O31" i="8"/>
  <c r="O49" i="8"/>
  <c r="Q49" i="8"/>
  <c r="R66" i="8"/>
  <c r="P66" i="8"/>
  <c r="V66" i="8"/>
  <c r="J66" i="8"/>
  <c r="K66" i="8"/>
  <c r="K22" i="8"/>
  <c r="R22" i="8"/>
  <c r="J22" i="8"/>
  <c r="P22" i="8"/>
  <c r="O36" i="8"/>
  <c r="Q36" i="8"/>
  <c r="R60" i="8"/>
  <c r="K60" i="8"/>
  <c r="J60" i="8"/>
  <c r="P60" i="8"/>
  <c r="O73" i="8"/>
  <c r="U73" i="8"/>
  <c r="Q73" i="8"/>
  <c r="Q27" i="8"/>
  <c r="O27" i="8"/>
  <c r="P45" i="8"/>
  <c r="J45" i="8"/>
  <c r="K45" i="8"/>
  <c r="R45" i="8"/>
  <c r="O63" i="8"/>
  <c r="Q63" i="8"/>
  <c r="K17" i="8"/>
  <c r="R17" i="8"/>
  <c r="P17" i="8"/>
  <c r="J17" i="8"/>
  <c r="O34" i="8"/>
  <c r="Q34" i="8"/>
  <c r="K54" i="8"/>
  <c r="J54" i="8"/>
  <c r="R54" i="8"/>
  <c r="P54" i="8"/>
  <c r="V69" i="8"/>
  <c r="K69" i="8"/>
  <c r="J69" i="8"/>
  <c r="P69" i="8"/>
  <c r="R69" i="8"/>
  <c r="R23" i="8"/>
  <c r="K23" i="8"/>
  <c r="J23" i="8"/>
  <c r="P23" i="8"/>
  <c r="J42" i="8"/>
  <c r="R42" i="8"/>
  <c r="P42" i="8"/>
  <c r="K42" i="8"/>
  <c r="Q57" i="8"/>
  <c r="O57" i="8"/>
  <c r="Q78" i="8"/>
  <c r="U78" i="8"/>
  <c r="O78" i="8"/>
  <c r="Q30" i="8"/>
  <c r="O30" i="8"/>
  <c r="O47" i="8"/>
  <c r="Q47" i="8"/>
  <c r="Q64" i="8"/>
  <c r="O64" i="8"/>
  <c r="R20" i="8"/>
  <c r="P20" i="8"/>
  <c r="K20" i="8"/>
  <c r="J20" i="8"/>
  <c r="O38" i="8"/>
  <c r="Q38" i="8"/>
  <c r="J53" i="8"/>
  <c r="P53" i="8"/>
  <c r="R53" i="8"/>
  <c r="K53" i="8"/>
  <c r="U74" i="8"/>
  <c r="O74" i="8"/>
  <c r="Q74" i="8"/>
  <c r="O22" i="8"/>
  <c r="Q22" i="8"/>
  <c r="J36" i="8"/>
  <c r="P36" i="8"/>
  <c r="R36" i="8"/>
  <c r="K36" i="8"/>
  <c r="O60" i="8"/>
  <c r="Q60" i="8"/>
  <c r="P73" i="8"/>
  <c r="K73" i="8"/>
  <c r="R73" i="8"/>
  <c r="V73" i="8"/>
  <c r="J73" i="8"/>
  <c r="J27" i="8"/>
  <c r="P27" i="8"/>
  <c r="R27" i="8"/>
  <c r="K27" i="8"/>
  <c r="O45" i="8"/>
  <c r="Q45" i="8"/>
  <c r="P63" i="8"/>
  <c r="K63" i="8"/>
  <c r="R63" i="8"/>
  <c r="J63" i="8"/>
  <c r="Q17" i="8"/>
  <c r="O17" i="8"/>
  <c r="K34" i="8"/>
  <c r="J34" i="8"/>
  <c r="P34" i="8"/>
  <c r="R34" i="8"/>
  <c r="Q54" i="8"/>
  <c r="O54" i="8"/>
  <c r="Q69" i="8"/>
  <c r="U69" i="8"/>
  <c r="O69" i="8"/>
  <c r="Q23" i="8"/>
  <c r="O23" i="8"/>
  <c r="Q42" i="8"/>
  <c r="O42" i="8"/>
  <c r="P57" i="8"/>
  <c r="K57" i="8"/>
  <c r="R57" i="8"/>
  <c r="J57" i="8"/>
  <c r="J78" i="8"/>
  <c r="R78" i="8"/>
  <c r="P78" i="8"/>
  <c r="K78" i="8"/>
  <c r="V78" i="8"/>
  <c r="R30" i="8"/>
  <c r="K30" i="8"/>
  <c r="J30" i="8"/>
  <c r="P30" i="8"/>
  <c r="R47" i="8"/>
  <c r="K47" i="8"/>
  <c r="P47" i="8"/>
  <c r="J47" i="8"/>
  <c r="P64" i="8"/>
  <c r="J64" i="8"/>
  <c r="R64" i="8"/>
  <c r="K64" i="8"/>
  <c r="O20" i="8"/>
  <c r="Q20" i="8"/>
  <c r="J38" i="8"/>
  <c r="P38" i="8"/>
  <c r="K38" i="8"/>
  <c r="R38" i="8"/>
  <c r="O53" i="8"/>
  <c r="Q53" i="8"/>
  <c r="R74" i="8"/>
  <c r="V74" i="8"/>
  <c r="P74" i="8"/>
  <c r="K74" i="8"/>
  <c r="J74" i="8"/>
  <c r="O86" i="8"/>
  <c r="Q86" i="8"/>
  <c r="U86" i="8"/>
  <c r="Q118" i="8"/>
  <c r="O118" i="8"/>
  <c r="U118" i="8"/>
  <c r="U115" i="8"/>
  <c r="Q115" i="8"/>
  <c r="O115" i="8"/>
  <c r="R88" i="8"/>
  <c r="P88" i="8"/>
  <c r="K88" i="8"/>
  <c r="V88" i="8"/>
  <c r="J88" i="8"/>
  <c r="U80" i="8"/>
  <c r="Q80" i="8"/>
  <c r="O80" i="8"/>
  <c r="V161" i="8"/>
  <c r="P161" i="8"/>
  <c r="R161" i="8"/>
  <c r="J161" i="8"/>
  <c r="K161" i="8"/>
  <c r="J149" i="8"/>
  <c r="V149" i="8"/>
  <c r="P149" i="8"/>
  <c r="K149" i="8"/>
  <c r="R149" i="8"/>
  <c r="U98" i="8"/>
  <c r="Q98" i="8"/>
  <c r="O98" i="8"/>
  <c r="U159" i="8"/>
  <c r="Q159" i="8"/>
  <c r="O159" i="8"/>
  <c r="U152" i="8"/>
  <c r="O152" i="8"/>
  <c r="Q152" i="8"/>
  <c r="Q105" i="8"/>
  <c r="U105" i="8"/>
  <c r="O105" i="8"/>
  <c r="Q167" i="8"/>
  <c r="U167" i="8"/>
  <c r="O167" i="8"/>
  <c r="U137" i="8"/>
  <c r="O137" i="8"/>
  <c r="Q137" i="8"/>
  <c r="V142" i="8"/>
  <c r="R142" i="8"/>
  <c r="P142" i="8"/>
  <c r="K142" i="8"/>
  <c r="J142" i="8"/>
  <c r="K125" i="8"/>
  <c r="V125" i="8"/>
  <c r="P125" i="8"/>
  <c r="J125" i="8"/>
  <c r="R125" i="8"/>
  <c r="R113" i="8"/>
  <c r="P113" i="8"/>
  <c r="K113" i="8"/>
  <c r="J113" i="8"/>
  <c r="V113" i="8"/>
  <c r="U101" i="8"/>
  <c r="Q101" i="8"/>
  <c r="O101" i="8"/>
  <c r="V156" i="8"/>
  <c r="K156" i="8"/>
  <c r="J156" i="8"/>
  <c r="P156" i="8"/>
  <c r="R156" i="8"/>
  <c r="V131" i="8"/>
  <c r="R131" i="8"/>
  <c r="K131" i="8"/>
  <c r="J131" i="8"/>
  <c r="P131" i="8"/>
  <c r="U93" i="8"/>
  <c r="O93" i="8"/>
  <c r="Q93" i="8"/>
  <c r="P86" i="8"/>
  <c r="R86" i="8"/>
  <c r="V86" i="8"/>
  <c r="J86" i="8"/>
  <c r="K86" i="8"/>
  <c r="J85" i="8"/>
  <c r="P85" i="8"/>
  <c r="V85" i="8"/>
  <c r="K85" i="8"/>
  <c r="R85" i="8"/>
  <c r="P104" i="8"/>
  <c r="R104" i="8"/>
  <c r="V104" i="8"/>
  <c r="K104" i="8"/>
  <c r="J104" i="8"/>
  <c r="R118" i="8"/>
  <c r="V118" i="8"/>
  <c r="P118" i="8"/>
  <c r="K118" i="8"/>
  <c r="J118" i="8"/>
  <c r="R106" i="8"/>
  <c r="P106" i="8"/>
  <c r="K106" i="8"/>
  <c r="J106" i="8"/>
  <c r="V106" i="8"/>
  <c r="K110" i="8"/>
  <c r="R110" i="8"/>
  <c r="J110" i="8"/>
  <c r="V110" i="8"/>
  <c r="P110" i="8"/>
  <c r="U79" i="8"/>
  <c r="O79" i="8"/>
  <c r="Q79" i="8"/>
  <c r="K115" i="8"/>
  <c r="R115" i="8"/>
  <c r="J115" i="8"/>
  <c r="P115" i="8"/>
  <c r="V115" i="8"/>
  <c r="P82" i="8"/>
  <c r="J82" i="8"/>
  <c r="V82" i="8"/>
  <c r="R82" i="8"/>
  <c r="K82" i="8"/>
  <c r="O88" i="8"/>
  <c r="Q88" i="8"/>
  <c r="U88" i="8"/>
  <c r="V84" i="8"/>
  <c r="R84" i="8"/>
  <c r="P84" i="8"/>
  <c r="J84" i="8"/>
  <c r="K84" i="8"/>
  <c r="R80" i="8"/>
  <c r="P80" i="8"/>
  <c r="J80" i="8"/>
  <c r="K80" i="8"/>
  <c r="V80" i="8"/>
  <c r="J123" i="8"/>
  <c r="V123" i="8"/>
  <c r="R123" i="8"/>
  <c r="P123" i="8"/>
  <c r="K123" i="8"/>
  <c r="P119" i="8"/>
  <c r="K119" i="8"/>
  <c r="V119" i="8"/>
  <c r="J119" i="8"/>
  <c r="R119" i="8"/>
  <c r="O108" i="8"/>
  <c r="Q108" i="8"/>
  <c r="U108" i="8"/>
  <c r="Q161" i="8"/>
  <c r="U161" i="8"/>
  <c r="O161" i="8"/>
  <c r="U149" i="8"/>
  <c r="Q149" i="8"/>
  <c r="O149" i="8"/>
  <c r="V136" i="8"/>
  <c r="P136" i="8"/>
  <c r="K136" i="8"/>
  <c r="R136" i="8"/>
  <c r="J136" i="8"/>
  <c r="R146" i="8"/>
  <c r="V146" i="8"/>
  <c r="K146" i="8"/>
  <c r="J146" i="8"/>
  <c r="P146" i="8"/>
  <c r="R98" i="8"/>
  <c r="K98" i="8"/>
  <c r="P98" i="8"/>
  <c r="V98" i="8"/>
  <c r="J98" i="8"/>
  <c r="R128" i="8"/>
  <c r="V128" i="8"/>
  <c r="J128" i="8"/>
  <c r="P128" i="8"/>
  <c r="K128" i="8"/>
  <c r="R97" i="8"/>
  <c r="J97" i="8"/>
  <c r="K97" i="8"/>
  <c r="V97" i="8"/>
  <c r="P97" i="8"/>
  <c r="O91" i="8"/>
  <c r="U91" i="8"/>
  <c r="Q91" i="8"/>
  <c r="Q169" i="8"/>
  <c r="O169" i="8"/>
  <c r="U169" i="8"/>
  <c r="R159" i="8"/>
  <c r="V159" i="8"/>
  <c r="J159" i="8"/>
  <c r="K159" i="8"/>
  <c r="P159" i="8"/>
  <c r="J130" i="8"/>
  <c r="V130" i="8"/>
  <c r="R130" i="8"/>
  <c r="P130" i="8"/>
  <c r="K130" i="8"/>
  <c r="R95" i="8"/>
  <c r="K95" i="8"/>
  <c r="J95" i="8"/>
  <c r="P95" i="8"/>
  <c r="V95" i="8"/>
  <c r="U168" i="8"/>
  <c r="O168" i="8"/>
  <c r="Q168" i="8"/>
  <c r="V152" i="8"/>
  <c r="R152" i="8"/>
  <c r="K152" i="8"/>
  <c r="J152" i="8"/>
  <c r="P152" i="8"/>
  <c r="P153" i="8"/>
  <c r="J153" i="8"/>
  <c r="V153" i="8"/>
  <c r="K153" i="8"/>
  <c r="R153" i="8"/>
  <c r="V151" i="8"/>
  <c r="R151" i="8"/>
  <c r="P151" i="8"/>
  <c r="K151" i="8"/>
  <c r="J151" i="8"/>
  <c r="U129" i="8"/>
  <c r="O129" i="8"/>
  <c r="Q129" i="8"/>
  <c r="P105" i="8"/>
  <c r="J105" i="8"/>
  <c r="V105" i="8"/>
  <c r="R105" i="8"/>
  <c r="K105" i="8"/>
  <c r="Q148" i="8"/>
  <c r="U148" i="8"/>
  <c r="O148" i="8"/>
  <c r="Q158" i="8"/>
  <c r="U158" i="8"/>
  <c r="O158" i="8"/>
  <c r="K96" i="8"/>
  <c r="V96" i="8"/>
  <c r="J96" i="8"/>
  <c r="P96" i="8"/>
  <c r="R96" i="8"/>
  <c r="R167" i="8"/>
  <c r="P167" i="8"/>
  <c r="J167" i="8"/>
  <c r="K167" i="8"/>
  <c r="V167" i="8"/>
  <c r="U122" i="8"/>
  <c r="O122" i="8"/>
  <c r="Q122" i="8"/>
  <c r="J137" i="8"/>
  <c r="P137" i="8"/>
  <c r="R137" i="8"/>
  <c r="V137" i="8"/>
  <c r="K137" i="8"/>
  <c r="O142" i="8"/>
  <c r="Q142" i="8"/>
  <c r="U142" i="8"/>
  <c r="U125" i="8"/>
  <c r="Q125" i="8"/>
  <c r="O125" i="8"/>
  <c r="Q113" i="8"/>
  <c r="O113" i="8"/>
  <c r="U113" i="8"/>
  <c r="J101" i="8"/>
  <c r="R101" i="8"/>
  <c r="V101" i="8"/>
  <c r="P101" i="8"/>
  <c r="K101" i="8"/>
  <c r="Q156" i="8"/>
  <c r="O156" i="8"/>
  <c r="U156" i="8"/>
  <c r="O131" i="8"/>
  <c r="U131" i="8"/>
  <c r="Q131" i="8"/>
  <c r="U104" i="8"/>
  <c r="Q104" i="8"/>
  <c r="O104" i="8"/>
  <c r="Q106" i="8"/>
  <c r="O106" i="8"/>
  <c r="U106" i="8"/>
  <c r="R79" i="8"/>
  <c r="K79" i="8"/>
  <c r="V79" i="8"/>
  <c r="J79" i="8"/>
  <c r="P79" i="8"/>
  <c r="O84" i="8"/>
  <c r="Q84" i="8"/>
  <c r="U84" i="8"/>
  <c r="U119" i="8"/>
  <c r="Q119" i="8"/>
  <c r="O119" i="8"/>
  <c r="Q136" i="8"/>
  <c r="U136" i="8"/>
  <c r="O136" i="8"/>
  <c r="U128" i="8"/>
  <c r="Q128" i="8"/>
  <c r="O128" i="8"/>
  <c r="R91" i="8"/>
  <c r="J91" i="8"/>
  <c r="K91" i="8"/>
  <c r="P91" i="8"/>
  <c r="V91" i="8"/>
  <c r="J169" i="8"/>
  <c r="P169" i="8"/>
  <c r="V169" i="8"/>
  <c r="K169" i="8"/>
  <c r="R169" i="8"/>
  <c r="Q95" i="8"/>
  <c r="U95" i="8"/>
  <c r="O95" i="8"/>
  <c r="Q153" i="8"/>
  <c r="U153" i="8"/>
  <c r="O153" i="8"/>
  <c r="V129" i="8"/>
  <c r="K129" i="8"/>
  <c r="R129" i="8"/>
  <c r="J129" i="8"/>
  <c r="P129" i="8"/>
  <c r="Q96" i="8"/>
  <c r="O96" i="8"/>
  <c r="U96" i="8"/>
  <c r="V122" i="8"/>
  <c r="P122" i="8"/>
  <c r="K122" i="8"/>
  <c r="R122" i="8"/>
  <c r="J122" i="8"/>
  <c r="R103" i="8"/>
  <c r="P103" i="8"/>
  <c r="J103" i="8"/>
  <c r="K103" i="8"/>
  <c r="V103" i="8"/>
  <c r="Q140" i="8"/>
  <c r="U140" i="8"/>
  <c r="O140" i="8"/>
  <c r="K155" i="8"/>
  <c r="P155" i="8"/>
  <c r="R155" i="8"/>
  <c r="V155" i="8"/>
  <c r="J155" i="8"/>
  <c r="R154" i="8"/>
  <c r="J154" i="8"/>
  <c r="V154" i="8"/>
  <c r="P154" i="8"/>
  <c r="K154" i="8"/>
  <c r="P102" i="8"/>
  <c r="V102" i="8"/>
  <c r="J102" i="8"/>
  <c r="K102" i="8"/>
  <c r="R102" i="8"/>
  <c r="P157" i="8"/>
  <c r="J157" i="8"/>
  <c r="V157" i="8"/>
  <c r="R157" i="8"/>
  <c r="K157" i="8"/>
  <c r="Q92" i="8"/>
  <c r="O92" i="8"/>
  <c r="U92" i="8"/>
  <c r="K165" i="8"/>
  <c r="P165" i="8"/>
  <c r="V165" i="8"/>
  <c r="R165" i="8"/>
  <c r="J165" i="8"/>
  <c r="K150" i="8"/>
  <c r="V150" i="8"/>
  <c r="J150" i="8"/>
  <c r="R150" i="8"/>
  <c r="P150" i="8"/>
  <c r="Q160" i="8"/>
  <c r="O160" i="8"/>
  <c r="U160" i="8"/>
  <c r="O116" i="8"/>
  <c r="U116" i="8"/>
  <c r="Q116" i="8"/>
  <c r="J127" i="8"/>
  <c r="K127" i="8"/>
  <c r="R127" i="8"/>
  <c r="P127" i="8"/>
  <c r="V127" i="8"/>
  <c r="O170" i="8"/>
  <c r="Q170" i="8"/>
  <c r="U170" i="8"/>
  <c r="U124" i="8"/>
  <c r="O124" i="8"/>
  <c r="Q124" i="8"/>
  <c r="O121" i="8"/>
  <c r="Q121" i="8"/>
  <c r="U121" i="8"/>
  <c r="O134" i="8"/>
  <c r="Q134" i="8"/>
  <c r="U134" i="8"/>
  <c r="V117" i="8"/>
  <c r="P117" i="8"/>
  <c r="R117" i="8"/>
  <c r="J117" i="8"/>
  <c r="K117" i="8"/>
  <c r="Q135" i="8"/>
  <c r="O135" i="8"/>
  <c r="U135" i="8"/>
  <c r="AS2" i="15"/>
  <c r="Q141" i="8"/>
  <c r="O141" i="8"/>
  <c r="U141" i="8"/>
  <c r="O164" i="8"/>
  <c r="U164" i="8"/>
  <c r="Q164" i="8"/>
  <c r="K133" i="8"/>
  <c r="R133" i="8"/>
  <c r="V133" i="8"/>
  <c r="J133" i="8"/>
  <c r="P133" i="8"/>
  <c r="V162" i="8"/>
  <c r="R162" i="8"/>
  <c r="K162" i="8"/>
  <c r="J162" i="8"/>
  <c r="P162" i="8"/>
  <c r="R163" i="8"/>
  <c r="V163" i="8"/>
  <c r="P163" i="8"/>
  <c r="K163" i="8"/>
  <c r="J163" i="8"/>
  <c r="J147" i="8"/>
  <c r="P147" i="8"/>
  <c r="V147" i="8"/>
  <c r="K147" i="8"/>
  <c r="R147" i="8"/>
  <c r="J87" i="8"/>
  <c r="R87" i="8"/>
  <c r="P87" i="8"/>
  <c r="V87" i="8"/>
  <c r="K87" i="8"/>
  <c r="U144" i="8"/>
  <c r="Q144" i="8"/>
  <c r="O144" i="8"/>
  <c r="U166" i="8"/>
  <c r="Q166" i="8"/>
  <c r="O166" i="8"/>
  <c r="U99" i="8"/>
  <c r="O99" i="8"/>
  <c r="Q99" i="8"/>
  <c r="U100" i="8"/>
  <c r="O100" i="8"/>
  <c r="Q100" i="8"/>
  <c r="V107" i="8"/>
  <c r="J107" i="8"/>
  <c r="R107" i="8"/>
  <c r="K107" i="8"/>
  <c r="P107" i="8"/>
  <c r="O120" i="8"/>
  <c r="U120" i="8"/>
  <c r="Q120" i="8"/>
  <c r="K81" i="8"/>
  <c r="P81" i="8"/>
  <c r="J81" i="8"/>
  <c r="R81" i="8"/>
  <c r="V81" i="8"/>
  <c r="O109" i="8"/>
  <c r="Q109" i="8"/>
  <c r="U109" i="8"/>
  <c r="J111" i="8"/>
  <c r="P111" i="8"/>
  <c r="K111" i="8"/>
  <c r="R111" i="8"/>
  <c r="V111" i="8"/>
  <c r="U89" i="8"/>
  <c r="O89" i="8"/>
  <c r="Q89" i="8"/>
  <c r="O112" i="8"/>
  <c r="Q112" i="8"/>
  <c r="U112" i="8"/>
  <c r="O132" i="8"/>
  <c r="Q132" i="8"/>
  <c r="U132" i="8"/>
  <c r="R83" i="8"/>
  <c r="P83" i="8"/>
  <c r="V83" i="8"/>
  <c r="J83" i="8"/>
  <c r="K83" i="8"/>
  <c r="R114" i="8"/>
  <c r="V114" i="8"/>
  <c r="J114" i="8"/>
  <c r="P114" i="8"/>
  <c r="K114" i="8"/>
  <c r="P138" i="8"/>
  <c r="V138" i="8"/>
  <c r="R138" i="8"/>
  <c r="J138" i="8"/>
  <c r="K138" i="8"/>
  <c r="O94" i="8"/>
  <c r="Q94" i="8"/>
  <c r="U94" i="8"/>
  <c r="U126" i="8"/>
  <c r="O126" i="8"/>
  <c r="Q126" i="8"/>
  <c r="R145" i="8"/>
  <c r="J145" i="8"/>
  <c r="K145" i="8"/>
  <c r="V145" i="8"/>
  <c r="P145" i="8"/>
  <c r="Q143" i="8"/>
  <c r="O143" i="8"/>
  <c r="U143" i="8"/>
  <c r="P93" i="8"/>
  <c r="R93" i="8"/>
  <c r="V93" i="8"/>
  <c r="K93" i="8"/>
  <c r="J93" i="8"/>
  <c r="Q85" i="8"/>
  <c r="O85" i="8"/>
  <c r="U85" i="8"/>
  <c r="U110" i="8"/>
  <c r="O110" i="8"/>
  <c r="Q110" i="8"/>
  <c r="O82" i="8"/>
  <c r="Q82" i="8"/>
  <c r="U82" i="8"/>
  <c r="O123" i="8"/>
  <c r="Q123" i="8"/>
  <c r="U123" i="8"/>
  <c r="K108" i="8"/>
  <c r="R108" i="8"/>
  <c r="J108" i="8"/>
  <c r="P108" i="8"/>
  <c r="V108" i="8"/>
  <c r="U146" i="8"/>
  <c r="O146" i="8"/>
  <c r="Q146" i="8"/>
  <c r="O97" i="8"/>
  <c r="Q97" i="8"/>
  <c r="U97" i="8"/>
  <c r="U130" i="8"/>
  <c r="Q130" i="8"/>
  <c r="O130" i="8"/>
  <c r="P168" i="8"/>
  <c r="J168" i="8"/>
  <c r="R168" i="8"/>
  <c r="K168" i="8"/>
  <c r="V168" i="8"/>
  <c r="Q151" i="8"/>
  <c r="U151" i="8"/>
  <c r="O151" i="8"/>
  <c r="V148" i="8"/>
  <c r="R148" i="8"/>
  <c r="K148" i="8"/>
  <c r="J148" i="8"/>
  <c r="P148" i="8"/>
  <c r="K158" i="8"/>
  <c r="V158" i="8"/>
  <c r="R158" i="8"/>
  <c r="J158" i="8"/>
  <c r="P158" i="8"/>
  <c r="O90" i="8"/>
  <c r="Q90" i="8"/>
  <c r="U90" i="8"/>
  <c r="O139" i="8"/>
  <c r="Q139" i="8"/>
  <c r="U139" i="8"/>
  <c r="K90" i="8"/>
  <c r="V90" i="8"/>
  <c r="P90" i="8"/>
  <c r="R90" i="8"/>
  <c r="J90" i="8"/>
  <c r="Q103" i="8"/>
  <c r="U103" i="8"/>
  <c r="O103" i="8"/>
  <c r="P139" i="8"/>
  <c r="R139" i="8"/>
  <c r="V139" i="8"/>
  <c r="K139" i="8"/>
  <c r="J139" i="8"/>
  <c r="R140" i="8"/>
  <c r="P140" i="8"/>
  <c r="K140" i="8"/>
  <c r="J140" i="8"/>
  <c r="V140" i="8"/>
  <c r="O155" i="8"/>
  <c r="Q155" i="8"/>
  <c r="U155" i="8"/>
  <c r="U154" i="8"/>
  <c r="O154" i="8"/>
  <c r="Q154" i="8"/>
  <c r="O102" i="8"/>
  <c r="U102" i="8"/>
  <c r="Q102" i="8"/>
  <c r="O157" i="8"/>
  <c r="U157" i="8"/>
  <c r="Q157" i="8"/>
  <c r="P92" i="8"/>
  <c r="V92" i="8"/>
  <c r="K92" i="8"/>
  <c r="J92" i="8"/>
  <c r="R92" i="8"/>
  <c r="Q165" i="8"/>
  <c r="U165" i="8"/>
  <c r="O165" i="8"/>
  <c r="O150" i="8"/>
  <c r="Q150" i="8"/>
  <c r="U150" i="8"/>
  <c r="V160" i="8"/>
  <c r="J160" i="8"/>
  <c r="R160" i="8"/>
  <c r="K160" i="8"/>
  <c r="P160" i="8"/>
  <c r="P116" i="8"/>
  <c r="K116" i="8"/>
  <c r="J116" i="8"/>
  <c r="V116" i="8"/>
  <c r="R116" i="8"/>
  <c r="Q127" i="8"/>
  <c r="U127" i="8"/>
  <c r="O127" i="8"/>
  <c r="R170" i="8"/>
  <c r="J170" i="8"/>
  <c r="V170" i="8"/>
  <c r="P170" i="8"/>
  <c r="K170" i="8"/>
  <c r="K124" i="8"/>
  <c r="R124" i="8"/>
  <c r="P124" i="8"/>
  <c r="V124" i="8"/>
  <c r="J124" i="8"/>
  <c r="K121" i="8"/>
  <c r="R121" i="8"/>
  <c r="P121" i="8"/>
  <c r="V121" i="8"/>
  <c r="J121" i="8"/>
  <c r="P134" i="8"/>
  <c r="R134" i="8"/>
  <c r="K134" i="8"/>
  <c r="V134" i="8"/>
  <c r="J134" i="8"/>
  <c r="O117" i="8"/>
  <c r="U117" i="8"/>
  <c r="Q117" i="8"/>
  <c r="V135" i="8"/>
  <c r="K135" i="8"/>
  <c r="R135" i="8"/>
  <c r="J135" i="8"/>
  <c r="P135" i="8"/>
  <c r="AS6" i="15"/>
  <c r="J141" i="8"/>
  <c r="R141" i="8"/>
  <c r="V141" i="8"/>
  <c r="K141" i="8"/>
  <c r="P141" i="8"/>
  <c r="R164" i="8"/>
  <c r="J164" i="8"/>
  <c r="P164" i="8"/>
  <c r="K164" i="8"/>
  <c r="V164" i="8"/>
  <c r="Q133" i="8"/>
  <c r="U133" i="8"/>
  <c r="O133" i="8"/>
  <c r="Q162" i="8"/>
  <c r="U162" i="8"/>
  <c r="O162" i="8"/>
  <c r="U163" i="8"/>
  <c r="O163" i="8"/>
  <c r="Q163" i="8"/>
  <c r="O147" i="8"/>
  <c r="U147" i="8"/>
  <c r="Q147" i="8"/>
  <c r="O87" i="8"/>
  <c r="Q87" i="8"/>
  <c r="U87" i="8"/>
  <c r="V144" i="8"/>
  <c r="J144" i="8"/>
  <c r="K144" i="8"/>
  <c r="P144" i="8"/>
  <c r="R144" i="8"/>
  <c r="J166" i="8"/>
  <c r="R166" i="8"/>
  <c r="K166" i="8"/>
  <c r="V166" i="8"/>
  <c r="P166" i="8"/>
  <c r="R99" i="8"/>
  <c r="V99" i="8"/>
  <c r="J99" i="8"/>
  <c r="K99" i="8"/>
  <c r="P99" i="8"/>
  <c r="V100" i="8"/>
  <c r="K100" i="8"/>
  <c r="J100" i="8"/>
  <c r="P100" i="8"/>
  <c r="R100" i="8"/>
  <c r="Q107" i="8"/>
  <c r="O107" i="8"/>
  <c r="U107" i="8"/>
  <c r="V120" i="8"/>
  <c r="K120" i="8"/>
  <c r="J120" i="8"/>
  <c r="P120" i="8"/>
  <c r="R120" i="8"/>
  <c r="O81" i="8"/>
  <c r="U81" i="8"/>
  <c r="Q81" i="8"/>
  <c r="R109" i="8"/>
  <c r="K109" i="8"/>
  <c r="J109" i="8"/>
  <c r="P109" i="8"/>
  <c r="V109" i="8"/>
  <c r="O111" i="8"/>
  <c r="Q111" i="8"/>
  <c r="U111" i="8"/>
  <c r="J89" i="8"/>
  <c r="P89" i="8"/>
  <c r="V89" i="8"/>
  <c r="R89" i="8"/>
  <c r="K89" i="8"/>
  <c r="P112" i="8"/>
  <c r="J112" i="8"/>
  <c r="K112" i="8"/>
  <c r="V112" i="8"/>
  <c r="R112" i="8"/>
  <c r="R132" i="8"/>
  <c r="J132" i="8"/>
  <c r="V132" i="8"/>
  <c r="K132" i="8"/>
  <c r="P132" i="8"/>
  <c r="U83" i="8"/>
  <c r="Q83" i="8"/>
  <c r="O83" i="8"/>
  <c r="U114" i="8"/>
  <c r="Q114" i="8"/>
  <c r="O114" i="8"/>
  <c r="Q138" i="8"/>
  <c r="O138" i="8"/>
  <c r="U138" i="8"/>
  <c r="J94" i="8"/>
  <c r="R94" i="8"/>
  <c r="K94" i="8"/>
  <c r="P94" i="8"/>
  <c r="V94" i="8"/>
  <c r="K126" i="8"/>
  <c r="V126" i="8"/>
  <c r="R126" i="8"/>
  <c r="J126" i="8"/>
  <c r="P126" i="8"/>
  <c r="O145" i="8"/>
  <c r="Q145" i="8"/>
  <c r="U145" i="8"/>
  <c r="J143" i="8"/>
  <c r="R143" i="8"/>
  <c r="K143" i="8"/>
  <c r="P143" i="8"/>
  <c r="V143" i="8"/>
  <c r="M81" i="8" l="1"/>
  <c r="M79" i="8"/>
  <c r="M66" i="8"/>
  <c r="M70" i="8"/>
  <c r="M69" i="8"/>
  <c r="M71" i="8"/>
  <c r="M72" i="8"/>
  <c r="M74" i="8"/>
  <c r="M73" i="8"/>
  <c r="M76" i="8"/>
  <c r="M75" i="8"/>
  <c r="M77" i="8"/>
  <c r="M78" i="8"/>
  <c r="M68" i="8"/>
  <c r="M67" i="8"/>
  <c r="M143" i="8"/>
  <c r="M112" i="8"/>
  <c r="M108" i="8"/>
  <c r="AT6" i="15"/>
  <c r="AS7" i="15"/>
  <c r="AT7" i="15" s="1"/>
  <c r="M170" i="8"/>
  <c r="M148" i="8"/>
  <c r="AT2" i="15"/>
  <c r="AS3" i="15"/>
  <c r="AT3" i="15" s="1"/>
  <c r="M127" i="8"/>
  <c r="M150" i="8"/>
  <c r="M155" i="8"/>
  <c r="M129" i="8"/>
  <c r="M130" i="8"/>
  <c r="M88" i="8"/>
  <c r="M94" i="8"/>
  <c r="M99" i="8"/>
  <c r="AS22" i="15"/>
  <c r="M158" i="8"/>
  <c r="M114" i="8"/>
  <c r="M107" i="8"/>
  <c r="M87" i="8"/>
  <c r="M133" i="8"/>
  <c r="M165" i="8"/>
  <c r="M157" i="8"/>
  <c r="M103" i="8"/>
  <c r="M169" i="8"/>
  <c r="M137" i="8"/>
  <c r="M105" i="8"/>
  <c r="M152" i="8"/>
  <c r="M128" i="8"/>
  <c r="M98" i="8"/>
  <c r="M146" i="8"/>
  <c r="M119" i="8"/>
  <c r="M80" i="8"/>
  <c r="M84" i="8"/>
  <c r="M82" i="8"/>
  <c r="M106" i="8"/>
  <c r="M118" i="8"/>
  <c r="M131" i="8"/>
  <c r="M125" i="8"/>
  <c r="M138" i="8"/>
  <c r="M126" i="8"/>
  <c r="M109" i="8"/>
  <c r="AS18" i="15"/>
  <c r="M167" i="8"/>
  <c r="M96" i="8"/>
  <c r="M151" i="8"/>
  <c r="M95" i="8"/>
  <c r="M159" i="8"/>
  <c r="M97" i="8"/>
  <c r="M136" i="8"/>
  <c r="M115" i="8"/>
  <c r="M110" i="8"/>
  <c r="M104" i="8"/>
  <c r="M113" i="8"/>
  <c r="M149" i="8"/>
  <c r="M161" i="8"/>
  <c r="M144" i="8"/>
  <c r="M141" i="8"/>
  <c r="M135" i="8"/>
  <c r="M163" i="8"/>
  <c r="M117" i="8"/>
  <c r="M132" i="8"/>
  <c r="M120" i="8"/>
  <c r="M100" i="8"/>
  <c r="AS12" i="15"/>
  <c r="M121" i="8"/>
  <c r="M160" i="8"/>
  <c r="M92" i="8"/>
  <c r="M90" i="8"/>
  <c r="M93" i="8"/>
  <c r="M83" i="8"/>
  <c r="M111" i="8"/>
  <c r="M162" i="8"/>
  <c r="M89" i="8"/>
  <c r="M166" i="8"/>
  <c r="M164" i="8"/>
  <c r="AS30" i="15"/>
  <c r="M134" i="8"/>
  <c r="M124" i="8"/>
  <c r="M116" i="8"/>
  <c r="M140" i="8"/>
  <c r="M139" i="8"/>
  <c r="M168" i="8"/>
  <c r="M145" i="8"/>
  <c r="M147" i="8"/>
  <c r="AS26" i="15"/>
  <c r="M102" i="8"/>
  <c r="M154" i="8"/>
  <c r="M122" i="8"/>
  <c r="M91" i="8"/>
  <c r="M101" i="8"/>
  <c r="M153" i="8"/>
  <c r="M123" i="8"/>
  <c r="M85" i="8"/>
  <c r="M86" i="8"/>
  <c r="M156" i="8"/>
  <c r="M142" i="8"/>
  <c r="AT30" i="15" l="1"/>
  <c r="AS31" i="15"/>
  <c r="AT31" i="15" s="1"/>
  <c r="AT12" i="15"/>
  <c r="AS13" i="15"/>
  <c r="AT13" i="15" s="1"/>
  <c r="AS23" i="15"/>
  <c r="AT23" i="15" s="1"/>
  <c r="AT22" i="15"/>
  <c r="AS19" i="15"/>
  <c r="AT19" i="15" s="1"/>
  <c r="AT18" i="15"/>
  <c r="AT26" i="15"/>
  <c r="AS27" i="15"/>
  <c r="AT27" i="15" s="1"/>
  <c r="AU2" i="15"/>
  <c r="AU6" i="15"/>
  <c r="AU18" i="15" l="1"/>
  <c r="AU12" i="15"/>
  <c r="AU22" i="15"/>
  <c r="AU26" i="15"/>
  <c r="AU30" i="15"/>
  <c r="K446" i="14" l="1"/>
  <c r="K445" i="14" l="1"/>
  <c r="K444" i="14" s="1"/>
  <c r="K443" i="14" s="1"/>
  <c r="K442" i="14" s="1"/>
  <c r="K441" i="14" s="1"/>
  <c r="K440" i="14" s="1"/>
  <c r="K439" i="14" s="1"/>
  <c r="K438" i="14" s="1"/>
  <c r="K437" i="14" s="1"/>
  <c r="K436" i="14" s="1"/>
  <c r="K435" i="14" s="1"/>
  <c r="K434" i="14" s="1"/>
  <c r="K433" i="14" s="1"/>
  <c r="K432" i="14" s="1"/>
  <c r="K431" i="14" s="1"/>
  <c r="K430" i="14" s="1"/>
  <c r="K429" i="14" s="1"/>
  <c r="K428" i="14" s="1"/>
  <c r="K427" i="14" s="1"/>
  <c r="K426" i="14" s="1"/>
  <c r="K425" i="14" s="1"/>
  <c r="K424" i="14" s="1"/>
  <c r="K423" i="14" s="1"/>
  <c r="K422" i="14" s="1"/>
  <c r="K421" i="14" s="1"/>
  <c r="K420" i="14" s="1"/>
  <c r="K419" i="14" s="1"/>
  <c r="K418" i="14" s="1"/>
  <c r="K417" i="14" s="1"/>
  <c r="K416" i="14" s="1"/>
  <c r="K415" i="14" s="1"/>
  <c r="K414" i="14" s="1"/>
  <c r="K413" i="14" s="1"/>
  <c r="K412" i="14" s="1"/>
  <c r="K411" i="14" s="1"/>
  <c r="K410" i="14" s="1"/>
  <c r="K409" i="14" s="1"/>
  <c r="K408" i="14" s="1"/>
  <c r="K407" i="14" s="1"/>
  <c r="K406" i="14" s="1"/>
  <c r="K405" i="14" s="1"/>
  <c r="K404" i="14" s="1"/>
  <c r="K403" i="14" s="1"/>
  <c r="K402" i="14" s="1"/>
  <c r="K401" i="14" s="1"/>
  <c r="K400" i="14" s="1"/>
  <c r="K399" i="14" s="1"/>
  <c r="K398" i="14" s="1"/>
  <c r="K397" i="14" s="1"/>
  <c r="K396" i="14" s="1"/>
  <c r="K395" i="14" s="1"/>
  <c r="K394" i="14" s="1"/>
  <c r="K393" i="14" s="1"/>
  <c r="K392" i="14" s="1"/>
  <c r="K391" i="14" s="1"/>
  <c r="K390" i="14" s="1"/>
  <c r="K389" i="14" s="1"/>
  <c r="K388" i="14" s="1"/>
  <c r="K387" i="14" s="1"/>
  <c r="K386" i="14" s="1"/>
  <c r="K385" i="14" s="1"/>
  <c r="K384" i="14" s="1"/>
  <c r="K383" i="14" s="1"/>
  <c r="K382" i="14" s="1"/>
  <c r="K381" i="14" s="1"/>
  <c r="K380" i="14" s="1"/>
  <c r="K379" i="14" s="1"/>
  <c r="K378" i="14" s="1"/>
  <c r="K377" i="14" s="1"/>
  <c r="K376" i="14" s="1"/>
  <c r="K375" i="14" s="1"/>
  <c r="K374" i="14" s="1"/>
  <c r="K373" i="14" s="1"/>
  <c r="K372" i="14" s="1"/>
  <c r="K371" i="14" s="1"/>
  <c r="K370" i="14" s="1"/>
  <c r="K369" i="14" s="1"/>
  <c r="K368" i="14" s="1"/>
  <c r="K367" i="14" s="1"/>
  <c r="K366" i="14" s="1"/>
  <c r="K365" i="14" s="1"/>
  <c r="K364" i="14" s="1"/>
  <c r="K363" i="14" s="1"/>
  <c r="K362" i="14" s="1"/>
  <c r="K361" i="14" s="1"/>
  <c r="K360" i="14" s="1"/>
  <c r="K359" i="14" s="1"/>
  <c r="K358" i="14" s="1"/>
  <c r="K357" i="14" s="1"/>
  <c r="K356" i="14" s="1"/>
  <c r="K355" i="14" s="1"/>
  <c r="K354" i="14" s="1"/>
  <c r="K353" i="14" s="1"/>
  <c r="K352" i="14" s="1"/>
  <c r="K351" i="14" s="1"/>
  <c r="K350" i="14" s="1"/>
  <c r="K349" i="14" s="1"/>
  <c r="K348" i="14" s="1"/>
  <c r="K347" i="14" s="1"/>
  <c r="K346" i="14" s="1"/>
  <c r="K345" i="14" s="1"/>
  <c r="K344" i="14" s="1"/>
  <c r="K343" i="14" s="1"/>
  <c r="K342" i="14" s="1"/>
  <c r="K341" i="14" s="1"/>
  <c r="K340" i="14" s="1"/>
  <c r="K339" i="14" s="1"/>
  <c r="K338" i="14" s="1"/>
  <c r="K337" i="14" s="1"/>
  <c r="K336" i="14" s="1"/>
  <c r="K335" i="14" s="1"/>
  <c r="K334" i="14" s="1"/>
  <c r="K333" i="14" s="1"/>
  <c r="K332" i="14" s="1"/>
  <c r="K331" i="14" s="1"/>
  <c r="K330" i="14" s="1"/>
  <c r="K329" i="14" s="1"/>
  <c r="K328" i="14" s="1"/>
  <c r="K327" i="14" s="1"/>
  <c r="K326" i="14" s="1"/>
  <c r="K325" i="14" s="1"/>
  <c r="K324" i="14" s="1"/>
  <c r="K323" i="14" s="1"/>
  <c r="K322" i="14" s="1"/>
  <c r="K321" i="14" s="1"/>
  <c r="K320" i="14" s="1"/>
  <c r="K319" i="14" s="1"/>
  <c r="K318" i="14" s="1"/>
  <c r="K317" i="14" s="1"/>
  <c r="K316" i="14" s="1"/>
  <c r="K315" i="14" s="1"/>
  <c r="K314" i="14" s="1"/>
  <c r="K313" i="14" s="1"/>
  <c r="K312" i="14" s="1"/>
  <c r="K311" i="14" s="1"/>
  <c r="K310" i="14" s="1"/>
  <c r="K309" i="14" s="1"/>
  <c r="K308" i="14" s="1"/>
  <c r="K307" i="14" s="1"/>
  <c r="K306" i="14" s="1"/>
  <c r="K305" i="14" s="1"/>
  <c r="K304" i="14" s="1"/>
  <c r="K303" i="14" s="1"/>
  <c r="K302" i="14" s="1"/>
  <c r="K301" i="14" s="1"/>
  <c r="K300" i="14" s="1"/>
  <c r="K299" i="14" s="1"/>
  <c r="K298" i="14" s="1"/>
  <c r="K297" i="14" s="1"/>
  <c r="K296" i="14" s="1"/>
  <c r="K295" i="14" s="1"/>
  <c r="K294" i="14" s="1"/>
  <c r="K293" i="14" s="1"/>
  <c r="K292" i="14" s="1"/>
  <c r="K291" i="14" s="1"/>
  <c r="K290" i="14" s="1"/>
  <c r="K289" i="14" s="1"/>
  <c r="K288" i="14" s="1"/>
  <c r="K287" i="14" s="1"/>
  <c r="K286" i="14" s="1"/>
  <c r="K285" i="14" s="1"/>
  <c r="K284" i="14" s="1"/>
  <c r="K283" i="14" s="1"/>
  <c r="K282" i="14" s="1"/>
  <c r="K281" i="14" s="1"/>
  <c r="K280" i="14" s="1"/>
  <c r="K279" i="14" s="1"/>
  <c r="K278" i="14" s="1"/>
  <c r="K277" i="14" s="1"/>
  <c r="K276" i="14" s="1"/>
  <c r="K275" i="14" s="1"/>
  <c r="K274" i="14" s="1"/>
  <c r="K273" i="14" s="1"/>
  <c r="K272" i="14" s="1"/>
  <c r="K271" i="14" s="1"/>
  <c r="K270" i="14" s="1"/>
  <c r="K269" i="14" s="1"/>
  <c r="K268" i="14" s="1"/>
  <c r="K267" i="14" s="1"/>
  <c r="K266" i="14" s="1"/>
  <c r="K265" i="14" s="1"/>
  <c r="K264" i="14" s="1"/>
  <c r="K263" i="14" s="1"/>
  <c r="K262" i="14" s="1"/>
  <c r="K261" i="14" s="1"/>
  <c r="K260" i="14" s="1"/>
  <c r="K259" i="14" s="1"/>
  <c r="K258" i="14" s="1"/>
  <c r="K257" i="14" s="1"/>
  <c r="K256" i="14" s="1"/>
  <c r="K255" i="14" s="1"/>
  <c r="K254" i="14" s="1"/>
  <c r="K253" i="14" s="1"/>
  <c r="K252" i="14" s="1"/>
  <c r="K251" i="14" s="1"/>
  <c r="K250" i="14" s="1"/>
  <c r="K249" i="14" s="1"/>
  <c r="K248" i="14" s="1"/>
  <c r="K247" i="14" s="1"/>
  <c r="K246" i="14" s="1"/>
  <c r="K245" i="14" s="1"/>
  <c r="K244" i="14" s="1"/>
  <c r="K243" i="14" s="1"/>
  <c r="K242" i="14" s="1"/>
  <c r="K241" i="14" s="1"/>
  <c r="K240" i="14" s="1"/>
  <c r="K239" i="14" s="1"/>
  <c r="K238" i="14" s="1"/>
  <c r="K237" i="14" s="1"/>
  <c r="K236" i="14" s="1"/>
  <c r="K235" i="14" s="1"/>
  <c r="K234" i="14" s="1"/>
  <c r="K233" i="14" s="1"/>
  <c r="K232" i="14" s="1"/>
  <c r="K231" i="14" s="1"/>
  <c r="K230" i="14" s="1"/>
  <c r="K229" i="14" s="1"/>
  <c r="K228" i="14" s="1"/>
  <c r="K227" i="14" s="1"/>
  <c r="K226" i="14" s="1"/>
  <c r="K225" i="14" s="1"/>
  <c r="K224" i="14" s="1"/>
  <c r="K223" i="14" s="1"/>
  <c r="K222" i="14" s="1"/>
  <c r="K221" i="14" s="1"/>
  <c r="K220" i="14" s="1"/>
  <c r="K219" i="14" s="1"/>
  <c r="K218" i="14" s="1"/>
  <c r="K217" i="14" s="1"/>
  <c r="K216" i="14" s="1"/>
  <c r="K215" i="14" s="1"/>
  <c r="K214" i="14" s="1"/>
  <c r="K213" i="14" s="1"/>
  <c r="K212" i="14" s="1"/>
  <c r="K211" i="14" s="1"/>
  <c r="K210" i="14" s="1"/>
  <c r="K209" i="14" s="1"/>
  <c r="K208" i="14" s="1"/>
  <c r="K207" i="14" s="1"/>
  <c r="K206" i="14" s="1"/>
  <c r="K205" i="14" s="1"/>
  <c r="K204" i="14" s="1"/>
  <c r="K203" i="14" s="1"/>
  <c r="K202" i="14" s="1"/>
  <c r="K201" i="14" s="1"/>
  <c r="K200" i="14" s="1"/>
  <c r="K199" i="14" s="1"/>
  <c r="K198" i="14" s="1"/>
  <c r="K197" i="14" s="1"/>
  <c r="K196" i="14" s="1"/>
  <c r="K195" i="14" s="1"/>
  <c r="K194" i="14" s="1"/>
  <c r="K193" i="14" s="1"/>
  <c r="K192" i="14" s="1"/>
  <c r="K191" i="14" s="1"/>
  <c r="K190" i="14" s="1"/>
  <c r="K189" i="14" s="1"/>
  <c r="K188" i="14" s="1"/>
  <c r="K187" i="14" s="1"/>
  <c r="K186" i="14" s="1"/>
  <c r="K185" i="14" s="1"/>
  <c r="K184" i="14" s="1"/>
  <c r="K183" i="14" s="1"/>
  <c r="K182" i="14" s="1"/>
  <c r="K181" i="14" s="1"/>
  <c r="K180" i="14" s="1"/>
  <c r="K179" i="14" s="1"/>
  <c r="K178" i="14" s="1"/>
  <c r="K177" i="14" s="1"/>
  <c r="K176" i="14" s="1"/>
  <c r="K175" i="14" s="1"/>
  <c r="K174" i="14" s="1"/>
  <c r="K173" i="14" s="1"/>
  <c r="K172" i="14" s="1"/>
  <c r="K171" i="14" s="1"/>
  <c r="K170" i="14" s="1"/>
  <c r="K169" i="14" s="1"/>
  <c r="K168" i="14" s="1"/>
  <c r="K167" i="14" s="1"/>
  <c r="K166" i="14" s="1"/>
  <c r="K165" i="14" s="1"/>
  <c r="K164" i="14" s="1"/>
  <c r="K163" i="14" s="1"/>
  <c r="K162" i="14" s="1"/>
  <c r="K161" i="14" s="1"/>
  <c r="K160" i="14" s="1"/>
  <c r="K159" i="14" s="1"/>
  <c r="K158" i="14" s="1"/>
  <c r="K157" i="14" s="1"/>
  <c r="K156" i="14" s="1"/>
  <c r="K155" i="14" s="1"/>
  <c r="K154" i="14" s="1"/>
  <c r="K153" i="14" s="1"/>
  <c r="K152" i="14" s="1"/>
  <c r="K151" i="14" s="1"/>
  <c r="K150" i="14" s="1"/>
  <c r="K149" i="14" s="1"/>
  <c r="K148" i="14" s="1"/>
  <c r="K147" i="14" s="1"/>
  <c r="K146" i="14" s="1"/>
  <c r="K145" i="14" s="1"/>
  <c r="K144" i="14" s="1"/>
  <c r="K143" i="14" s="1"/>
  <c r="K142" i="14" s="1"/>
  <c r="K141" i="14" s="1"/>
  <c r="K140" i="14" s="1"/>
  <c r="K139" i="14" s="1"/>
  <c r="K138" i="14" s="1"/>
  <c r="K137" i="14" s="1"/>
  <c r="K136" i="14" s="1"/>
  <c r="K135" i="14" s="1"/>
  <c r="K134" i="14" s="1"/>
  <c r="K133" i="14" s="1"/>
  <c r="K132" i="14" s="1"/>
  <c r="K131" i="14" s="1"/>
  <c r="K130" i="14" s="1"/>
  <c r="K129" i="14" s="1"/>
  <c r="K128" i="14" s="1"/>
  <c r="K127" i="14" s="1"/>
  <c r="K126" i="14" s="1"/>
  <c r="K125" i="14" s="1"/>
  <c r="K124" i="14" s="1"/>
  <c r="K123" i="14" s="1"/>
  <c r="K122" i="14" s="1"/>
  <c r="K121" i="14" s="1"/>
  <c r="K120" i="14" s="1"/>
  <c r="K119" i="14" s="1"/>
  <c r="K118" i="14" s="1"/>
  <c r="K117" i="14" s="1"/>
  <c r="K116" i="14" s="1"/>
  <c r="K115" i="14" s="1"/>
  <c r="K114" i="14" s="1"/>
  <c r="K113" i="14" s="1"/>
  <c r="K112" i="14" s="1"/>
  <c r="K111" i="14" s="1"/>
  <c r="K110" i="14" s="1"/>
  <c r="K109" i="14" s="1"/>
  <c r="K108" i="14" s="1"/>
  <c r="K107" i="14" s="1"/>
  <c r="K106" i="14" s="1"/>
  <c r="K105" i="14" s="1"/>
  <c r="K104" i="14" s="1"/>
  <c r="K103" i="14" s="1"/>
  <c r="K102" i="14" s="1"/>
  <c r="K101" i="14" s="1"/>
  <c r="K100" i="14" s="1"/>
  <c r="K99" i="14" s="1"/>
  <c r="K98" i="14" s="1"/>
  <c r="K97" i="14" s="1"/>
  <c r="K96" i="14" s="1"/>
  <c r="K95" i="14" s="1"/>
  <c r="K94" i="14" s="1"/>
  <c r="K93" i="14" s="1"/>
  <c r="K92" i="14" s="1"/>
  <c r="K91" i="14" s="1"/>
  <c r="K90" i="14" s="1"/>
  <c r="K89" i="14" s="1"/>
  <c r="K88" i="14" s="1"/>
  <c r="K87" i="14" s="1"/>
  <c r="K86" i="14" s="1"/>
  <c r="K85" i="14" s="1"/>
  <c r="K84" i="14" s="1"/>
  <c r="K83" i="14" s="1"/>
  <c r="K82" i="14" s="1"/>
  <c r="K81" i="14" s="1"/>
  <c r="K80" i="14" s="1"/>
  <c r="K79" i="14" s="1"/>
  <c r="K78" i="14" s="1"/>
  <c r="K77" i="14" s="1"/>
  <c r="K76" i="14" s="1"/>
  <c r="K75" i="14" s="1"/>
  <c r="K74" i="14" s="1"/>
  <c r="K73" i="14" s="1"/>
  <c r="K72" i="14" s="1"/>
  <c r="K71" i="14" s="1"/>
  <c r="K70" i="14" s="1"/>
  <c r="K69" i="14" s="1"/>
  <c r="K68" i="14" s="1"/>
  <c r="K67" i="14" s="1"/>
  <c r="K66" i="14" s="1"/>
  <c r="K65" i="14" s="1"/>
  <c r="K64" i="14" s="1"/>
  <c r="K63" i="14" s="1"/>
  <c r="K62" i="14" s="1"/>
  <c r="K61" i="14" s="1"/>
  <c r="K60" i="14" s="1"/>
  <c r="K59" i="14" s="1"/>
  <c r="K58" i="14" s="1"/>
  <c r="K57" i="14" s="1"/>
  <c r="K56" i="14" s="1"/>
  <c r="K55" i="14" s="1"/>
  <c r="K54" i="14" s="1"/>
  <c r="K53" i="14" s="1"/>
  <c r="K52" i="14" s="1"/>
  <c r="K51" i="14" s="1"/>
  <c r="K50" i="14" s="1"/>
  <c r="K49" i="14" s="1"/>
  <c r="K48" i="14" s="1"/>
  <c r="K47" i="14" s="1"/>
  <c r="K46" i="14" s="1"/>
  <c r="K45" i="14" s="1"/>
  <c r="K44" i="14" s="1"/>
  <c r="K43" i="14" s="1"/>
  <c r="K42" i="14" s="1"/>
  <c r="K41" i="14" s="1"/>
  <c r="K40" i="14" s="1"/>
  <c r="K39" i="14" s="1"/>
  <c r="K38" i="14" s="1"/>
  <c r="K37" i="14" s="1"/>
  <c r="K36" i="14" s="1"/>
  <c r="K35" i="14" s="1"/>
  <c r="K34" i="14" s="1"/>
  <c r="K33" i="14" s="1"/>
  <c r="K32" i="14" s="1"/>
  <c r="K31" i="14" s="1"/>
  <c r="K30" i="14" s="1"/>
  <c r="K29" i="14" s="1"/>
  <c r="K28" i="14" s="1"/>
  <c r="K27" i="14" s="1"/>
  <c r="K26" i="14" s="1"/>
  <c r="K25" i="14" s="1"/>
  <c r="K24" i="14" s="1"/>
  <c r="K23" i="14" s="1"/>
  <c r="K22" i="14" s="1"/>
  <c r="K21" i="14" s="1"/>
  <c r="K20" i="14" s="1"/>
  <c r="K19" i="14" s="1"/>
  <c r="K18" i="14" s="1"/>
  <c r="K17" i="14" s="1"/>
  <c r="K16" i="14" s="1"/>
  <c r="K15" i="14" s="1"/>
  <c r="K14" i="14" s="1"/>
  <c r="K13" i="14" s="1"/>
  <c r="K12" i="14" s="1"/>
  <c r="K11" i="14" s="1"/>
  <c r="K10" i="14" s="1"/>
  <c r="K9" i="14" s="1"/>
  <c r="K8" i="14" s="1"/>
  <c r="K7" i="14" s="1"/>
  <c r="K6" i="14" s="1"/>
  <c r="K5" i="14" s="1"/>
  <c r="K4" i="14" s="1"/>
  <c r="K447" i="14" l="1"/>
  <c r="K448" i="14" s="1"/>
  <c r="K449" i="14" s="1"/>
  <c r="K450" i="14" s="1"/>
  <c r="K451" i="14" s="1"/>
  <c r="K452" i="14" s="1"/>
  <c r="K453" i="14" s="1"/>
  <c r="K454" i="14" s="1"/>
  <c r="K455" i="14" s="1"/>
  <c r="K456" i="14" s="1"/>
  <c r="K457" i="14" s="1"/>
  <c r="K458" i="14" s="1"/>
  <c r="K459" i="14" s="1"/>
  <c r="K460" i="14" s="1"/>
  <c r="K461" i="14" s="1"/>
  <c r="K462" i="14" s="1"/>
  <c r="K463" i="14" s="1"/>
  <c r="K464" i="14" s="1"/>
  <c r="K465" i="14" s="1"/>
  <c r="K466" i="14" s="1"/>
  <c r="K467" i="14" s="1"/>
  <c r="K468" i="14" s="1"/>
  <c r="K469" i="14" s="1"/>
  <c r="K470" i="14" s="1"/>
  <c r="K471" i="14" s="1"/>
  <c r="K472" i="14" s="1"/>
  <c r="K473" i="14" s="1"/>
  <c r="K474" i="14" s="1"/>
  <c r="K475" i="14" s="1"/>
  <c r="K476" i="14" s="1"/>
  <c r="K477" i="14" s="1"/>
  <c r="K478" i="14" s="1"/>
  <c r="K479" i="14" s="1"/>
  <c r="K480" i="14" s="1"/>
  <c r="K481" i="14" s="1"/>
  <c r="K482" i="14" s="1"/>
  <c r="K483" i="14" s="1"/>
  <c r="K484" i="14" s="1"/>
  <c r="K485" i="14" s="1"/>
  <c r="K486" i="14" s="1"/>
  <c r="K487" i="14" s="1"/>
  <c r="K488" i="14" s="1"/>
  <c r="K489" i="14" s="1"/>
  <c r="K490" i="14" s="1"/>
  <c r="K491" i="14" s="1"/>
  <c r="K492" i="14" s="1"/>
  <c r="K493" i="14" s="1"/>
  <c r="K494" i="14" s="1"/>
  <c r="K495" i="14" s="1"/>
  <c r="K496" i="14" s="1"/>
  <c r="K497" i="14" s="1"/>
  <c r="K498" i="14" s="1"/>
  <c r="K499" i="14" s="1"/>
  <c r="K500" i="14" s="1"/>
  <c r="K501" i="14" s="1"/>
  <c r="K502" i="14" s="1"/>
  <c r="K503" i="14" s="1"/>
  <c r="K504" i="14" s="1"/>
  <c r="K505" i="14" s="1"/>
  <c r="K506" i="14" s="1"/>
  <c r="K507" i="14" s="1"/>
  <c r="K508" i="14" s="1"/>
  <c r="K509" i="14" s="1"/>
  <c r="K510" i="14" s="1"/>
  <c r="K511" i="14" s="1"/>
  <c r="K512" i="14" s="1"/>
  <c r="K513" i="14" s="1"/>
  <c r="K514" i="14" s="1"/>
  <c r="K515" i="14" s="1"/>
  <c r="K516" i="14" s="1"/>
  <c r="K517" i="14" s="1"/>
  <c r="K518" i="14" s="1"/>
  <c r="K519" i="14" s="1"/>
  <c r="K520" i="14" s="1"/>
  <c r="K521" i="14" s="1"/>
  <c r="K522" i="14" s="1"/>
  <c r="K523" i="14" s="1"/>
</calcChain>
</file>

<file path=xl/sharedStrings.xml><?xml version="1.0" encoding="utf-8"?>
<sst xmlns="http://schemas.openxmlformats.org/spreadsheetml/2006/main" count="365" uniqueCount="288">
  <si>
    <t>Datum</t>
  </si>
  <si>
    <t>Hospitalisationsrate (ohne Intensivmedizin)</t>
  </si>
  <si>
    <t>Hospitalisationsraten</t>
  </si>
  <si>
    <t>Länge des Krankenhausaufenthalts in Tagen</t>
  </si>
  <si>
    <t>Faktor</t>
  </si>
  <si>
    <t>Wert</t>
  </si>
  <si>
    <t>Quelle</t>
  </si>
  <si>
    <t>Gelb hinterlegte Felder können angepasst werden.</t>
  </si>
  <si>
    <t>Strukturbedarf</t>
  </si>
  <si>
    <t>Masken pro Patient und Tag</t>
  </si>
  <si>
    <t>Robert-Koch-Institut, uptodate.com</t>
  </si>
  <si>
    <t>Rechenwert Beatmung</t>
  </si>
  <si>
    <t>Dutch Association of Medical Specialists</t>
  </si>
  <si>
    <t>Notwendige Strukturen (pro Tag)</t>
  </si>
  <si>
    <t>Robert-Koch-Institut (https://www.rki.de/DE/Content/InfAZ/N/Neuartiges_Coronavirus/Steckbrief.html?nn=13490888)</t>
  </si>
  <si>
    <t>Normalstation</t>
  </si>
  <si>
    <t>Quote</t>
  </si>
  <si>
    <t>Intensivstation</t>
  </si>
  <si>
    <t>Patienten pro Pflegekraft im Tagdienst</t>
  </si>
  <si>
    <t>Patienten pro Pflegekraft im Nachtdienst</t>
  </si>
  <si>
    <t>Benötigte Masken (Intensivstation)</t>
  </si>
  <si>
    <t>Schichtsystem</t>
  </si>
  <si>
    <t>Früh-, Spät- und Nachtdienst</t>
  </si>
  <si>
    <t>Belegte Betten Normalstation</t>
  </si>
  <si>
    <t>Belegte Betten Intensivstation</t>
  </si>
  <si>
    <t>Normalstunden Rechenwert</t>
  </si>
  <si>
    <t>Intensivstunden Rechenwert</t>
  </si>
  <si>
    <t>Einwohner im Einzugsgebiet</t>
  </si>
  <si>
    <t>Kumulierte Fallzahlen</t>
  </si>
  <si>
    <t>Erwartete Infektionsquote</t>
  </si>
  <si>
    <t>1. Woche</t>
  </si>
  <si>
    <t>2. Woche</t>
  </si>
  <si>
    <t>3. Woche</t>
  </si>
  <si>
    <t>4. Woche</t>
  </si>
  <si>
    <t>5. Woche</t>
  </si>
  <si>
    <t>6. Woche</t>
  </si>
  <si>
    <t>7. Woche</t>
  </si>
  <si>
    <t>8. Woche</t>
  </si>
  <si>
    <t>9. Woche</t>
  </si>
  <si>
    <t>10. Woche</t>
  </si>
  <si>
    <t>-1 Woche</t>
  </si>
  <si>
    <t>-2 Wochen</t>
  </si>
  <si>
    <t>-3 Wochen</t>
  </si>
  <si>
    <t>-4 Wochen</t>
  </si>
  <si>
    <t>Datum des höchsten Peaks</t>
  </si>
  <si>
    <t>Höchster Peak (Normalstation)</t>
  </si>
  <si>
    <t>Höchster Peak (Intensivstation)</t>
  </si>
  <si>
    <t>Erläuterung</t>
  </si>
  <si>
    <t>Die gesamte Einwohnerzahl des zu betrachtenden Einzugsgebiets.</t>
  </si>
  <si>
    <t>Falls die Gesamtentwicklung betrachtet werden soll: 100%</t>
  </si>
  <si>
    <t>Einwohneranteil Einzugsgebiet</t>
  </si>
  <si>
    <r>
      <rPr>
        <b/>
        <sz val="10"/>
        <rFont val="Arial"/>
        <family val="2"/>
      </rPr>
      <t xml:space="preserve">
Kontakt</t>
    </r>
    <r>
      <rPr>
        <sz val="10"/>
        <rFont val="Arial"/>
        <family val="2"/>
      </rPr>
      <t xml:space="preserve">
ZEQ AG
Am Victoria-Turm 2, 68165 Mannheim
Telefon: (0621) 300 840-0
E-Mail: info@zeq.de
www.zeq.de</t>
    </r>
  </si>
  <si>
    <t xml:space="preserve">Zur Aktualisierung des Rechners stehen Ihnen zwei Möglichkeiten zur Verfügung:
</t>
  </si>
  <si>
    <t>c. Alle weiteren Rechenschritte erfolgen automatisiert auf Basis der hinterlegten Fallzahlen. Sie können nach Aktualisierung der Fallzahlen die Prognoserechnungen durchführen.</t>
  </si>
  <si>
    <t>1. Laden Sie den regelmäßig mit veröffentlichten Fallzahlen aktualisierten ZEQ-Szenariorechner unter https://www.zeq.de/covid-19.html herunter.</t>
  </si>
  <si>
    <t>a. Öffnen Sie den Reiter "Fallzahlen (Berechnung)".</t>
  </si>
  <si>
    <r>
      <t xml:space="preserve">b. Stellen Sie sicher, dass in </t>
    </r>
    <r>
      <rPr>
        <b/>
        <sz val="11"/>
        <rFont val="Arial"/>
        <family val="2"/>
      </rPr>
      <t>allen</t>
    </r>
    <r>
      <rPr>
        <sz val="11"/>
        <rFont val="Arial"/>
        <family val="2"/>
      </rPr>
      <t xml:space="preserve"> gelb markierten Feldern in der Spalte E alle aktuellen Fallzahlen des ECDCs hinterlegt sind. Die Fallzahlen können unter https://qap.ecdc.europa.eu/public/extensions/COVID-19/COVID-19.html abgerufen werden. Grün markierte Felder sind mit Formel hinterlegt, die zur Prognoserechnung dienen. Bitte verändern Sie diese Formeln nicht, um die Funktion des Szenariorechners nicht einzuschränken.</t>
    </r>
  </si>
  <si>
    <t>Personalbedarf in 24 h</t>
  </si>
  <si>
    <t>Strukturdaten Pflegedienst</t>
  </si>
  <si>
    <t>Drei-Schicht-System (8h-Dienste)</t>
  </si>
  <si>
    <t>Patienten pro Arzt (IMC)</t>
  </si>
  <si>
    <t>Patienten pro Arzt (ICU)</t>
  </si>
  <si>
    <t>Pflegedienst</t>
  </si>
  <si>
    <t>Ärztlicher Dienst</t>
  </si>
  <si>
    <t>Hierzu liegen noch keine verlässlichen Daten vor. Der hinterlegte Wert von 64% beruht auf der Annahme, dass 80% der Patienten der Intensivstation beatmet werden müssen, davon 80% invasiv. Daraus ergibt sich ein Rechenwert für den ICU-Aufenthalt (80% x 80% = 64%).</t>
  </si>
  <si>
    <t>Normalstation Pflege</t>
  </si>
  <si>
    <t>Intensivstation Pflege</t>
  </si>
  <si>
    <t>Normalstation ÄD</t>
  </si>
  <si>
    <t>Intensivstation ÄD</t>
  </si>
  <si>
    <t>Strukturdaten Ärztlicher Dienst</t>
  </si>
  <si>
    <t>Mitarbeiterbedarf</t>
  </si>
  <si>
    <t>Patienten pro Arzt im Nachtdienst</t>
  </si>
  <si>
    <t>Patienten pro Arzt im Tagdienst</t>
  </si>
  <si>
    <r>
      <t xml:space="preserve">Die hinterlegten Quoten beruhen auf Empfehlungen von Dr. Ulf Dennler zur (bewältigbaren) Besetzung in </t>
    </r>
    <r>
      <rPr>
        <u/>
        <sz val="11"/>
        <rFont val="Arial"/>
        <family val="2"/>
      </rPr>
      <t>Krisen</t>
    </r>
    <r>
      <rPr>
        <sz val="11"/>
        <rFont val="Arial"/>
        <family val="2"/>
      </rPr>
      <t>zeiten.</t>
    </r>
  </si>
  <si>
    <t>Gebietsbezogen</t>
  </si>
  <si>
    <t>Rahmendaten (Gebietsbezogen)</t>
  </si>
  <si>
    <t>Anhand des regionalen Ausgangswerts</t>
  </si>
  <si>
    <t>Anteil des regionalen Ausgangswerts am Gesamtwert</t>
  </si>
  <si>
    <t>Hinterlegen Sie einen regionalen Ausgangswert oder wählen Sie eine andere Prognosebasis!</t>
  </si>
  <si>
    <t>Erwartete Infektionszahl (Regional)</t>
  </si>
  <si>
    <r>
      <t xml:space="preserve">3. Um die gebietsbezogene Fallzahlprognose zu nutzen, geben Sie im Reiter "Fallzahl (Berechnung)" in den orange markierten Feldern alle aktuellen, Ihnen zur Verfügung stehenden Fallzahlen des zu relevanten Einzugsgebiets an. </t>
    </r>
    <r>
      <rPr>
        <b/>
        <sz val="11"/>
        <rFont val="Arial"/>
        <family val="2"/>
      </rPr>
      <t>Wichtig:</t>
    </r>
    <r>
      <rPr>
        <sz val="11"/>
        <rFont val="Arial"/>
        <family val="2"/>
      </rPr>
      <t xml:space="preserve"> Geben sie den jeweiligen Zuwachs des entsprechenden Tages an, nicht die kumulierte Gesamtfallzahl des Tages. Es muss für mindestens einen der letzten vier Tage ein Fallzuwachs angegeben werden. Je genauer die hinterlegte Datenbasis, desto genauer die Prognose.</t>
    </r>
  </si>
  <si>
    <t>2. (Nur notwendig, wenn Sie nicht die aktuelle Version von der ZEQ-Homepage heruntergeladen haben) Um die Offline-Version des Rechners zu aktualisieren, befolgen Sie folgende Schritte:</t>
  </si>
  <si>
    <t>Anleitung zur Aktualisierung des ZEQ-Szenariorechners</t>
  </si>
  <si>
    <t>Hinweis</t>
  </si>
  <si>
    <t>Wert eingeben</t>
  </si>
  <si>
    <t>Kontakt</t>
  </si>
  <si>
    <r>
      <t xml:space="preserve">Beginn der Prognose
</t>
    </r>
    <r>
      <rPr>
        <sz val="10"/>
        <rFont val="Arial"/>
        <family val="2"/>
      </rPr>
      <t>(Datum)</t>
    </r>
  </si>
  <si>
    <t>Fallzahl-Zuwachs pro Tag</t>
  </si>
  <si>
    <r>
      <rPr>
        <b/>
        <sz val="10"/>
        <rFont val="Arial"/>
        <family val="2"/>
      </rPr>
      <t xml:space="preserve">Regionaler Ausgangswert
</t>
    </r>
    <r>
      <rPr>
        <sz val="10"/>
        <rFont val="Arial"/>
        <family val="2"/>
      </rPr>
      <t>(Bestätigte Fallzahlen zu Beginn der Prognose)</t>
    </r>
  </si>
  <si>
    <t>Gebietsbezogen: Dynamische Wachstumsrate</t>
  </si>
  <si>
    <t>Gebietsbezogen: Halbierte dynamische Wachstumsrate</t>
  </si>
  <si>
    <t>10% Wachstum</t>
  </si>
  <si>
    <t>Eine ausführliche Anleitung kann auf unserer Website heruntergeladen werden, auf der auch der Szenariorechner bereitsteht. www.zeq.de/covid-19</t>
  </si>
  <si>
    <t>Gebietsbezogen: Stabilisierte Wachstumsrate</t>
  </si>
  <si>
    <t>Gebietsbezogen: Halbierte Stabilisierte Wachstumsrate</t>
  </si>
  <si>
    <t>Einwohner Gebiet</t>
  </si>
  <si>
    <t>Fallzahlpotenzial</t>
  </si>
  <si>
    <t>Rahmendaten (Regionaler Ausgangswert)</t>
  </si>
  <si>
    <t>Beginn der Prognose</t>
  </si>
  <si>
    <t>https://qap.ecdc.europa.eu/public/extensions/COVID-19/COVID-19.html</t>
  </si>
  <si>
    <t>Prognosebasis</t>
  </si>
  <si>
    <t>Wachstumsrate</t>
  </si>
  <si>
    <t>Fehlermeldungen</t>
  </si>
  <si>
    <t>Ja/Nein</t>
  </si>
  <si>
    <t>Ja</t>
  </si>
  <si>
    <t>Nein</t>
  </si>
  <si>
    <t>Anzahl Tage für dynamische Wachstumsrate</t>
  </si>
  <si>
    <t>Parameter</t>
  </si>
  <si>
    <t>Anzahl Tage für stabilisierte Wachstumsrate</t>
  </si>
  <si>
    <t>vier</t>
  </si>
  <si>
    <t>sieben</t>
  </si>
  <si>
    <t>Auswahl</t>
  </si>
  <si>
    <t>Prognosebasis kurz</t>
  </si>
  <si>
    <t>Bevölkerungsanteil</t>
  </si>
  <si>
    <t>Gebietsbezogene FZ</t>
  </si>
  <si>
    <t>Hinterlegen Sie im Tabellenblatt "Fallzahlen (Berechnung)" in der orangefarbenen Spalte die gebietsbezogenen Fallzahlzuwächse</t>
  </si>
  <si>
    <t>Deutschland</t>
  </si>
  <si>
    <t>Einwohner</t>
  </si>
  <si>
    <t>Merkmal</t>
  </si>
  <si>
    <t>Schweiz</t>
  </si>
  <si>
    <t>Ì</t>
  </si>
  <si>
    <r>
      <rPr>
        <b/>
        <sz val="11"/>
        <rFont val="Arial"/>
        <family val="2"/>
      </rPr>
      <t>Kontakt</t>
    </r>
    <r>
      <rPr>
        <sz val="11"/>
        <rFont val="Arial"/>
        <family val="2"/>
      </rPr>
      <t xml:space="preserve">
ZEQ AG
Am Victoria-Turm 2
D-68163 Mannheim
Telefon: +49 (621) 300 840-0
E-Mail: info@zeq.de
www.zeq.de</t>
    </r>
  </si>
  <si>
    <t>ZEQ AG
Am Victoria-Turm 2, D-68165 Mannheim
Telefon: +49 (621) 300 840-0
E-Mail: info@zeq.de
www.zeq.de</t>
  </si>
  <si>
    <r>
      <rPr>
        <b/>
        <sz val="10"/>
        <color theme="1"/>
        <rFont val="Arial"/>
        <family val="2"/>
      </rPr>
      <t>Kontakt</t>
    </r>
    <r>
      <rPr>
        <sz val="10"/>
        <color theme="1"/>
        <rFont val="Arial"/>
        <family val="2"/>
      </rPr>
      <t xml:space="preserve">
ZEQ AG
Am Victoria-Turm 2, D-68165 Mannheim
Telefon: +49 (621) 300 840-0
E-Mail: info@zeq.de
www.zeq.de</t>
    </r>
  </si>
  <si>
    <t>Einrichtung (Singular)</t>
  </si>
  <si>
    <t>Krankenhaus</t>
  </si>
  <si>
    <t>Spital</t>
  </si>
  <si>
    <t>Einrichtungen (Plural)</t>
  </si>
  <si>
    <t>Krankenhäuser</t>
  </si>
  <si>
    <t>Spitäler</t>
  </si>
  <si>
    <t>Einrichtungen (Dativ)</t>
  </si>
  <si>
    <t>Krankenhäusern</t>
  </si>
  <si>
    <t>Spitälern</t>
  </si>
  <si>
    <t>bundesweite</t>
  </si>
  <si>
    <t>schweizweite</t>
  </si>
  <si>
    <t>bundesweiten</t>
  </si>
  <si>
    <t>schweizweiten</t>
  </si>
  <si>
    <t>Ableitung aus dem Bevölkerungsanteil</t>
  </si>
  <si>
    <t>Eingabe eines regionalen Ausgangswerts</t>
  </si>
  <si>
    <t>Regionaler Ausgangswert</t>
  </si>
  <si>
    <t>Ableitung aus gebietsbezogenen Fallzahlen</t>
  </si>
  <si>
    <r>
      <rPr>
        <b/>
        <sz val="10"/>
        <rFont val="Arial"/>
        <family val="2"/>
      </rPr>
      <t>Ableitung aus dem Bevökerungsanteil:</t>
    </r>
    <r>
      <rPr>
        <b/>
        <sz val="10"/>
        <rFont val="Arial"/>
        <family val="2"/>
      </rPr>
      <t/>
    </r>
  </si>
  <si>
    <t>Eingabe eines regionalen Ausgangswerts:</t>
  </si>
  <si>
    <r>
      <rPr>
        <b/>
        <sz val="10"/>
        <rFont val="Arial"/>
        <family val="2"/>
      </rPr>
      <t>Ableitung aus gebietsbezogenen Fallzahlen:</t>
    </r>
    <r>
      <rPr>
        <sz val="10"/>
        <rFont val="Arial"/>
        <family val="2"/>
      </rPr>
      <t xml:space="preserve"> </t>
    </r>
  </si>
  <si>
    <t>Dynamische Wachstumsrate:</t>
  </si>
  <si>
    <t>Stabilisierte Wachstumsrate:</t>
  </si>
  <si>
    <t>Der Ausgangswert der Berechnung wird per Hand in Zeile 14 eingegeben.</t>
  </si>
  <si>
    <r>
      <t xml:space="preserve">Der Ausgangswert ergibt sich aus der Summe aller gebietsbezogenen Fallzahlen. Dazu müssen im Tabellenblatt </t>
    </r>
    <r>
      <rPr>
        <i/>
        <sz val="10"/>
        <rFont val="Arial"/>
        <family val="2"/>
      </rPr>
      <t>"Fallzahlen (Berechnung)"</t>
    </r>
    <r>
      <rPr>
        <sz val="10"/>
        <rFont val="Arial"/>
        <family val="2"/>
      </rPr>
      <t xml:space="preserve"> gebietsbezogene Fallzahlen eingegeben werden (orangefarbene Spalte F).</t>
    </r>
  </si>
  <si>
    <t xml:space="preserve">In dieser Zelle kann der Ausgangswert der bestätigten COVID-19-Fallzahlen im betrachteten Einzugsgebiet zum in Zeile 9 angegebenen Datum eingegeben werden. Die Prognose der weiteren Entwicklung erfolgt auf Basis der unten angegeben Wachstumsrate. </t>
  </si>
  <si>
    <t>Bundesweit</t>
  </si>
  <si>
    <t>Schweizweit</t>
  </si>
  <si>
    <t>ECDC</t>
  </si>
  <si>
    <t>ECDC bundesweit</t>
  </si>
  <si>
    <t>ECDC schweizweit</t>
  </si>
  <si>
    <r>
      <rPr>
        <b/>
        <u/>
        <sz val="11"/>
        <rFont val="Arial"/>
        <family val="2"/>
      </rPr>
      <t>Die Prognose</t>
    </r>
    <r>
      <rPr>
        <sz val="11"/>
        <rFont val="Arial"/>
        <family val="2"/>
      </rPr>
      <t xml:space="preserve">
Zur Verwendung des Rechners muss der Anwender im Tabellenblatt "Prognoseparameter" die Einwohnerzahl des von ihm betrachteten Einzugsgebiets angeben. Zusätzlich muss das Datum der aktuellen Fallzahl eingegeben werden. Der ZEQ-Szenariorechner prognostiziert auf dieser Basis die Entwicklung der kommenden 10 Wochen, das umfasst:</t>
    </r>
    <r>
      <rPr>
        <sz val="11"/>
        <rFont val="Arial"/>
        <family val="2"/>
      </rPr>
      <t/>
    </r>
  </si>
  <si>
    <t xml:space="preserve">   - Fallzahlen im Einzugsgebiet
   - Patientenzahlen auf der Normal- und Intensivstation
   - Voraussichtlicher Bedarf an ECMO-Beatmung
   - Benötigte Masken zur Betreuung der Intensivpatienten
   - Mitarbeiterbedarfe pro 24h</t>
  </si>
  <si>
    <t>Die rot umrahmten Strukturerkenntnisse bilden jeweils das tägliche Patientenaufkommen bzw. den täglichen Strukturbedarf ab. Um den wöchentlichen Bedarf zu ermitteln, müssen die Werte der entsprechenden Tage einfach aufsummiert werden. Voraussichtlich gesundete Patienten werden taggenau abgezogen. Grundlage hierfür sind die im Reiter "Erkrankungs- und Strukturdaten" hinterlegten mittleren Verweildauern der Patienten mit Corona-Infektion.</t>
  </si>
  <si>
    <r>
      <rPr>
        <b/>
        <u/>
        <sz val="11"/>
        <rFont val="Arial"/>
        <family val="2"/>
      </rPr>
      <t xml:space="preserve">Grenzen des Szenariorechners
</t>
    </r>
    <r>
      <rPr>
        <sz val="11"/>
        <rFont val="Arial"/>
        <family val="2"/>
      </rPr>
      <t xml:space="preserve">
Die Entwicklung der regionalen Ausbreitung des Corona-Virus sowie die Schweregrade und Krankheitsverläufe der Infizierten können von den statistischen Prognosen abweichen. Der vorliegende Szenariorechner ist kein Simulationstool, das die Komplexität der Pandemie vollständig abbilden kann. Er sollte daher nur als erste Orientierungshilfe bei der Bewältigung der Corona-Krise genutzt werden. Er erhebt keinen Anspruch auf eine vollständige wissenschaftlich fundierte Abbildung der zukünftigen Entwicklungen, sondern dient als praktisches, niedrigschwelliges Instrument zur Vorbereitung und Ausrichtung der notwendigen Strukturen. DIe dargestellten Prognosen können  je nach Stand des betrachteten Einzugsgebiets im Vergleich zum Pandemie-Verlauf in Deutschland abweichen. Die dargestellten Tendenzen sind in diesem Fall zeitlich verzögert zu erwarten. Am grundsätzlichen Verlauf der Pandemie wird sich höchstens durch gesellschaftliche Präventionsmaßnahmen etwas ändern, die durch die Aktualisierungen des Rechners nach und nach in die Prognosen eingearbeitet werden.</t>
    </r>
  </si>
  <si>
    <r>
      <rPr>
        <b/>
        <u/>
        <sz val="11"/>
        <rFont val="Arial"/>
        <family val="2"/>
      </rPr>
      <t>Weiterentwicklung des ZEQ-Szenariorechners</t>
    </r>
    <r>
      <rPr>
        <sz val="11"/>
        <rFont val="Arial"/>
        <family val="2"/>
      </rPr>
      <t xml:space="preserve">
Der ZEQ-Szenariorechner wird durch weitere im Verlauf der Corona-Pandemie gewonnene Erkenntnisse und die tatsächliche Entwicklung der Fallzahlen in Deutschland weiter verbessert. Anmerkungen oder Verbesserungsvorschläge werden wir gerne bestmöglich umsetzen. Kontaktieren Sie uns hierfür einfach unter der E-Mail-Adresse info@zeq.de.</t>
    </r>
  </si>
  <si>
    <r>
      <rPr>
        <b/>
        <sz val="12"/>
        <rFont val="Arial"/>
        <family val="2"/>
      </rPr>
      <t>Bedienung des ZEQ-Szenariorechners und Einordnung der Prognosen</t>
    </r>
    <r>
      <rPr>
        <sz val="11"/>
        <rFont val="Arial"/>
        <family val="2"/>
      </rPr>
      <t xml:space="preserve">
Der vorliegende Szenariorechner soll bei der grundlegenden Orientierung für die Vorbereitung des deutschen Gesundheitswesens auf die kommenden Herausforderungen durch die Corona-Pandemie unterstützen. Dafür wird auf Basis der bereits bestätigten Corona-Fälle die Entwicklung in den folgenden drei Wochen prognostiziert. Die Fallzahlen werden auf Basis veröffentlicher Erkenntnisse über das Virus und seine Folgen in Strukturanforderungen des Gesundheitswesens umgerechnet. Seit Version 2 werden Anhaltswerte zu durch Corona-Patienten belegten Betten auf der Normal- und Intensivstation, zu benötigten Schutzmasken, zu invasiv beatmeten mit extrakorporaler Membranoxygenierung (EMCO) sowie zu den notwendigen Personalressourcen zur Versorgung der Patienten berechnet.</t>
    </r>
  </si>
  <si>
    <t>Eine Prognose über diesen Zeitraum hinaus ist theoretisch möglich, muss allerdings mit erheblichen Einschränkungen betrachtet werden. Aus diesem Grund haben wir uns entschieden, die Prognose auf den Zeitraum von 10 Wochen zu beschränken. Dieser Zeitraum bietet aus unserer Sicht die beste Balance zwischen Prognosen mit hoher Wahrscheinlichkeit und Vorbereitungszeit für die Einrichtungen in den betroffenen Regionen.</t>
  </si>
  <si>
    <r>
      <rPr>
        <b/>
        <u/>
        <sz val="11"/>
        <rFont val="Arial"/>
        <family val="2"/>
      </rPr>
      <t>Erkrankungs- und Strukturdaten</t>
    </r>
    <r>
      <rPr>
        <sz val="11"/>
        <rFont val="Arial"/>
        <family val="2"/>
      </rPr>
      <t xml:space="preserve">
Im Reiter "Erkrankungs- und Strukturdaten" kann der Anwender sowohl Erkenntnisse und Schätzwerte zu den Auswirkungen des Corona-Virus als auch zu den erforderlichen Strukturen zur Behandlung der Patienten variieren. Standardmäßig hinterlegt sind zum einen veröffentlichte Erkenntnisse über das Corona-Virus und zum anderen Erfahrungswerte, die ZEQ im Rahmen der Projektarbeit in über 400 Krankenhäusern und Spitälern gewonnen hat. Die Werte können je nach Bedarf durch den Nutzer beliebig angepasst werden, um aktuelle Erkenntnise einzuarbeiten oder verschiedene Szenarien durchspielen zu können.</t>
    </r>
  </si>
  <si>
    <t>Anteil gemeldete Fälle/Tatsächlich Erkrankte</t>
  </si>
  <si>
    <t>&lt;&lt;&lt; Drop-Down-Menü</t>
  </si>
  <si>
    <t>Land:</t>
  </si>
  <si>
    <t>Ganzes Land (Adjektiv)</t>
  </si>
  <si>
    <t>Ganzes Land (Attribut Sg.)</t>
  </si>
  <si>
    <t>Ganzes Land (Attribut Pl.)</t>
  </si>
  <si>
    <t>Geben Sie das Datum ein, auf dessen Informationsstand die Prognose beginnen soll (in der Regel: der letzte Tag, für den Fallzahlen bekannt sind).</t>
  </si>
  <si>
    <t>in… Land</t>
  </si>
  <si>
    <t>der Schweiz</t>
  </si>
  <si>
    <t>des Landes</t>
  </si>
  <si>
    <t>deutschen</t>
  </si>
  <si>
    <t>Schweizer</t>
  </si>
  <si>
    <t>Spalte Fallzahlen (Berechnung)</t>
  </si>
  <si>
    <t>E:E</t>
  </si>
  <si>
    <t>F:F</t>
  </si>
  <si>
    <r>
      <t xml:space="preserve">Wachstumsrate der Infektionen
</t>
    </r>
    <r>
      <rPr>
        <i/>
        <sz val="10"/>
        <rFont val="Arial"/>
        <family val="2"/>
      </rPr>
      <t>(Auswahl aus dem Drop-Down-Menü)</t>
    </r>
  </si>
  <si>
    <r>
      <t xml:space="preserve">Ableitung des Ausgangswerts
</t>
    </r>
    <r>
      <rPr>
        <sz val="10"/>
        <rFont val="Arial"/>
        <family val="2"/>
      </rPr>
      <t xml:space="preserve">(Prognosebasis)
</t>
    </r>
    <r>
      <rPr>
        <b/>
        <sz val="10"/>
        <rFont val="Arial"/>
        <family val="2"/>
      </rPr>
      <t xml:space="preserve">
</t>
    </r>
    <r>
      <rPr>
        <i/>
        <sz val="10"/>
        <rFont val="Arial"/>
        <family val="2"/>
      </rPr>
      <t>(Auswahl aus dem Drop-Down-Menü)</t>
    </r>
  </si>
  <si>
    <r>
      <rPr>
        <b/>
        <sz val="11"/>
        <rFont val="Arial"/>
        <family val="2"/>
      </rPr>
      <t>Dr. Ulf Dennler,</t>
    </r>
    <r>
      <rPr>
        <sz val="11"/>
        <rFont val="Arial"/>
        <family val="2"/>
      </rPr>
      <t xml:space="preserve"> Geschäftsbereichsleiter Medizincontrolling der München Klinik</t>
    </r>
  </si>
  <si>
    <t>Wir danken für Verbesserungsvorschläge und Unterstützung, insbesondere</t>
  </si>
  <si>
    <r>
      <rPr>
        <b/>
        <sz val="11"/>
        <rFont val="Arial"/>
        <family val="2"/>
      </rPr>
      <t>Dr. Klaus Schliz,</t>
    </r>
    <r>
      <rPr>
        <sz val="11"/>
        <rFont val="Arial"/>
        <family val="2"/>
      </rPr>
      <t xml:space="preserve"> Stellv. Landesdirektor der Bereitschaften DRK Baden-Württemberg
</t>
    </r>
    <r>
      <rPr>
        <b/>
        <sz val="11"/>
        <rFont val="Arial"/>
        <family val="2"/>
      </rPr>
      <t>Dr. Joachim Koster</t>
    </r>
    <r>
      <rPr>
        <sz val="11"/>
        <rFont val="Arial"/>
        <family val="2"/>
      </rPr>
      <t xml:space="preserve">, Leiter Medizincontrolling, Universitätskl+D29inikum Freiburg
</t>
    </r>
    <r>
      <rPr>
        <b/>
        <sz val="11"/>
        <rFont val="Arial"/>
        <family val="2"/>
      </rPr>
      <t>Marco Wollscheid,</t>
    </r>
    <r>
      <rPr>
        <sz val="11"/>
        <rFont val="Arial"/>
        <family val="2"/>
      </rPr>
      <t xml:space="preserve"> Regionalleiter Controlling, HELIOS Region Ost
</t>
    </r>
    <r>
      <rPr>
        <b/>
        <sz val="11"/>
        <rFont val="Arial"/>
        <family val="2"/>
      </rPr>
      <t xml:space="preserve">PD Dr. Sven Ständer, </t>
    </r>
    <r>
      <rPr>
        <sz val="11"/>
        <rFont val="Arial"/>
        <family val="2"/>
      </rPr>
      <t>Ärztlicher Direktor Spital Männedorf</t>
    </r>
  </si>
  <si>
    <t>Anteil beatmete Patienten an den infizierten Patienten gesamt</t>
  </si>
  <si>
    <t>Zwei-Schicht-System</t>
  </si>
  <si>
    <t>Drei-Schicht-System</t>
  </si>
  <si>
    <t>Länge der Beatmung auf Intensivstation in Tagen</t>
  </si>
  <si>
    <t>Gebietsbezogen (Zuwachs 
pro Tag)</t>
  </si>
  <si>
    <t>1. Die stabilisierte Wachstumsrate ist nun auch für die gebietsbezogenen Fallzahlen einstellbar.</t>
  </si>
  <si>
    <r>
      <rPr>
        <b/>
        <u/>
        <sz val="10.5"/>
        <rFont val="Arial"/>
        <family val="2"/>
      </rPr>
      <t>Updates in der Version 2.3</t>
    </r>
    <r>
      <rPr>
        <sz val="10.5"/>
        <rFont val="Arial"/>
        <family val="2"/>
      </rPr>
      <t xml:space="preserve">
3. 
</t>
    </r>
    <r>
      <rPr>
        <b/>
        <sz val="10.5"/>
        <rFont val="Arial"/>
        <family val="2"/>
      </rPr>
      <t/>
    </r>
  </si>
  <si>
    <t xml:space="preserve">2. Die gebietsbezogene Wachstumsrate kann nun auch mit einem regionalen Ausgangswert kombiniert werden.
</t>
  </si>
  <si>
    <t>3. Die Formeln wurden so umgestellt, dass der Rechner auch (wieder) Excel-2010-kompatibel ist.</t>
  </si>
  <si>
    <t>4. Wegen des Downgrades auf Excel 2010 musste auf dem Tabellenblatt Fallzahlen (Berechnung) eine Abfrage ergänzt werden, ob die gebietsbezogenen Fallzahlen bis zum Datum des Prognosebeginns vorliegen.</t>
  </si>
  <si>
    <t>5. Die Wachstumsrate berechnet sich nun nach dem geometrischen, nicht mehr nach dem arithmetischen Mittel der letzten Tage.</t>
  </si>
  <si>
    <t>6. Der Grenzwert für Herdenimmunität und der Anteil der gemeldeten Fälle können nun frei gewählt werden.</t>
  </si>
  <si>
    <r>
      <rPr>
        <b/>
        <u/>
        <sz val="10.5"/>
        <rFont val="Arial"/>
        <family val="2"/>
      </rPr>
      <t>Updates in der Version 2.4</t>
    </r>
    <r>
      <rPr>
        <sz val="10.5"/>
        <rFont val="Arial"/>
        <family val="2"/>
      </rPr>
      <t xml:space="preserve">. 
</t>
    </r>
    <r>
      <rPr>
        <b/>
        <sz val="10.5"/>
        <rFont val="Arial"/>
        <family val="2"/>
      </rPr>
      <t/>
    </r>
  </si>
  <si>
    <t>Bedarf Beatmungsplätze</t>
  </si>
  <si>
    <t>Sie dürfen die Auswertungen mit diesem Szenariorechner gerne in Ihre Veröffentlichungen einarbeiten. Wir bitten Sie jedoch, eine Quellenangabe vorzunehmen</t>
  </si>
  <si>
    <t>1. Anstelle der benötigten ECMOs werden nun die benötigten Beatmungsplätze berechnet.</t>
  </si>
  <si>
    <t>Anteil des ICU-Aufenthalts am Gesamtaufenthalt Intensivstation/IMC</t>
  </si>
  <si>
    <t>Hospitalisationsrate (nur Intensivmedizin/IMC)</t>
  </si>
  <si>
    <t>2. Bessere Kennzeichnung in den Darstellungen, dass die Angabe für Intensbetten auch IMC-Betten mit einschließt.</t>
  </si>
  <si>
    <r>
      <t xml:space="preserve">In den gelb hinterlegten Feldrnr können die Prognoseparameter angepasst werden. Die Prognose befindet sich in den Tabellenblättern </t>
    </r>
    <r>
      <rPr>
        <b/>
        <i/>
        <sz val="11"/>
        <rFont val="Arial"/>
        <family val="2"/>
      </rPr>
      <t>Prognoseergebnis</t>
    </r>
    <r>
      <rPr>
        <b/>
        <sz val="11"/>
        <rFont val="Arial"/>
        <family val="2"/>
      </rPr>
      <t xml:space="preserve"> bzw. </t>
    </r>
    <r>
      <rPr>
        <b/>
        <i/>
        <sz val="11"/>
        <rFont val="Arial"/>
        <family val="2"/>
      </rPr>
      <t>Grafische Darstellung</t>
    </r>
    <r>
      <rPr>
        <b/>
        <sz val="11"/>
        <rFont val="Arial"/>
        <family val="2"/>
      </rPr>
      <t>.</t>
    </r>
  </si>
  <si>
    <t>11. Woche</t>
  </si>
  <si>
    <t>12. Woche</t>
  </si>
  <si>
    <t>13. Woche</t>
  </si>
  <si>
    <t>14. Woche</t>
  </si>
  <si>
    <t>15. Woche</t>
  </si>
  <si>
    <t xml:space="preserve">Dieses Blatt stellen wir ungeschützt wir Verfügung, so dass Sie die Grafiken größerziehen können. </t>
  </si>
  <si>
    <t>Bei einer Verwendung in öffentlichen oder gewerbsmäßigen Publikationen bitten wir Sie um eine Quellenangabe.</t>
  </si>
  <si>
    <t>3. Verlängerung des Prognosezeitraums auf 15 Wochen.</t>
  </si>
  <si>
    <t>4. Korrektur der Berechnung der gebietsbezogenen Wachstumsrate mit regionalem Ausgangswert (bisher wurde die Berechnung der gebietsbezognen Wachstumsrate aus Spalte I ermittelt, jetzt legt sie die Werte in Spalte J zugrunde)</t>
  </si>
  <si>
    <t>5. Wegnahme der Möglichkeit, dass die Prognose mit einem Tag beginnt, für den noch keine Fallzahl vorliegt.</t>
  </si>
  <si>
    <t>Szenario-Methodik</t>
  </si>
  <si>
    <t>Methodik</t>
  </si>
  <si>
    <t>Worst Case</t>
  </si>
  <si>
    <t>Tatsächlich Infizierte insgesamt</t>
  </si>
  <si>
    <r>
      <rPr>
        <b/>
        <u/>
        <sz val="10.5"/>
        <rFont val="Arial"/>
        <family val="2"/>
      </rPr>
      <t>Updates in der Version 3.0</t>
    </r>
    <r>
      <rPr>
        <sz val="10.5"/>
        <rFont val="Arial"/>
        <family val="2"/>
      </rPr>
      <t xml:space="preserve">
</t>
    </r>
    <r>
      <rPr>
        <b/>
        <sz val="10.5"/>
        <rFont val="Arial"/>
        <family val="2"/>
      </rPr>
      <t/>
    </r>
  </si>
  <si>
    <t>2. Entsperrung der gesamten Eingabespalte auf den Tabellenblättern "Erkrankungs- und Strukturdaten" sowie "Prognoseparameter", damit das Hineinkopieren der regiosbezogenen Daten leichter fällt.</t>
  </si>
  <si>
    <r>
      <t xml:space="preserve">Betrachtetes Gebiet
</t>
    </r>
    <r>
      <rPr>
        <sz val="10"/>
        <rFont val="Arial"/>
        <family val="2"/>
      </rPr>
      <t>(optionale Angabe)</t>
    </r>
  </si>
  <si>
    <t>Text eingeben</t>
  </si>
  <si>
    <t>Das betrachtete Gebiet wird als Überschrift im Tabellenblatt "Grafische Darstellung" ausgegeben. Eine weitere Erfassung oder Auswertung dieser Eingabe erfolgt nicht.</t>
  </si>
  <si>
    <t>Aufenthalt Normalstation in Tagen (Milder Fall)</t>
  </si>
  <si>
    <t>Aufenthalt Intensivstation/IMC in Tagen (Schwerer Fall)</t>
  </si>
  <si>
    <t>Aufenthalt Normalstation nach ICU-Behandlung in Tagen (Schwerer Fall)</t>
  </si>
  <si>
    <t xml:space="preserve">3. Berücksichtigung, dass Intensivpatienten nach deren Aufenthalt auf Intensivstation noch Zeit auf Normalstation verbringen. </t>
  </si>
  <si>
    <t>4. Vereinfachung einiger Formeln</t>
  </si>
  <si>
    <t>letzter Eintrag</t>
  </si>
  <si>
    <r>
      <t xml:space="preserve">Zahl der Infizierten im Einzugsgebiet
</t>
    </r>
    <r>
      <rPr>
        <sz val="11"/>
        <color theme="0"/>
        <rFont val="Arial"/>
        <family val="2"/>
      </rPr>
      <t>Nur gemeldete und registrierte Fälle</t>
    </r>
  </si>
  <si>
    <t>Zahl der Infizierten (kumuliert)</t>
  </si>
  <si>
    <t>Zuwachs Infektionen pro Tag</t>
  </si>
  <si>
    <t>Entwicklung der Infektionszahlen</t>
  </si>
  <si>
    <r>
      <rPr>
        <b/>
        <u/>
        <sz val="10.5"/>
        <rFont val="Arial"/>
        <family val="2"/>
      </rPr>
      <t>Updates in der Version 3.1</t>
    </r>
    <r>
      <rPr>
        <sz val="10.5"/>
        <rFont val="Arial"/>
        <family val="2"/>
      </rPr>
      <t xml:space="preserve">
</t>
    </r>
    <r>
      <rPr>
        <b/>
        <sz val="10.5"/>
        <rFont val="Arial"/>
        <family val="2"/>
      </rPr>
      <t/>
    </r>
  </si>
  <si>
    <t xml:space="preserve">1. Wiederherstellung der Formel für Regionaler Ausgangswert und bundesweite Wachstumsrate (war im Rahmen der Formelvereinfachung in Version 3.0 funktionsunfähig geworden). </t>
  </si>
  <si>
    <t>2. Darstellung der Wachstumsrate mit einer Nachkommastelle.</t>
  </si>
  <si>
    <t>3. Sprachliche Veränderung: Infektionen/Infizierte statt Fallzahlen</t>
  </si>
  <si>
    <t>Potenzial gemeldete Fälle</t>
  </si>
  <si>
    <t>Abweichung je Wochentag</t>
  </si>
  <si>
    <t>Mittelwerte pro Wochentag - Bundesweit</t>
  </si>
  <si>
    <t>Mittelwerte pro Wochentag - Gebietsbezogen</t>
  </si>
  <si>
    <r>
      <rPr>
        <b/>
        <u/>
        <sz val="10.5"/>
        <rFont val="Arial"/>
        <family val="2"/>
      </rPr>
      <t>Updates in der Version 3.2</t>
    </r>
    <r>
      <rPr>
        <sz val="10.5"/>
        <rFont val="Arial"/>
        <family val="2"/>
      </rPr>
      <t xml:space="preserve">
</t>
    </r>
    <r>
      <rPr>
        <b/>
        <sz val="10.5"/>
        <rFont val="Arial"/>
        <family val="2"/>
      </rPr>
      <t/>
    </r>
  </si>
  <si>
    <t>1. Berechnung, wie stark die Fallzahl in den letzten vier Wochen wochentagsspezifisch vom Durchschnitt abgewichen ist und Berechnung eines wochentagsspezifischen Anpassungsfaktors. Multiplikation der rechnerischen Prognose mit dem wochentagsspezifischen Anpassungsfaktor.</t>
  </si>
  <si>
    <t>Wochentags-adaptierte Prognose</t>
  </si>
  <si>
    <t>3. Verkürzung des grafisch dargestellten Prognosezeitraums auf 10 Wochen.</t>
  </si>
  <si>
    <t>-5 Wochen</t>
  </si>
  <si>
    <t>-6 Wochen</t>
  </si>
  <si>
    <t>-7 Wochen</t>
  </si>
  <si>
    <t>-8 Wochen</t>
  </si>
  <si>
    <t>2. Korrektur der Formel zur Berechnung der Beatmungsgeräte und der Berechnung der Normalbetten (erste Tage).</t>
  </si>
  <si>
    <t>1. Anwendung der wochentagsspezifischen Anpassung auch auf die gebietsbezogene Prognose.</t>
  </si>
  <si>
    <r>
      <rPr>
        <b/>
        <u/>
        <sz val="10.5"/>
        <rFont val="Arial"/>
        <family val="2"/>
      </rPr>
      <t>Updates in der Version 3.3</t>
    </r>
    <r>
      <rPr>
        <sz val="10.5"/>
        <rFont val="Arial"/>
        <family val="2"/>
      </rPr>
      <t xml:space="preserve">
</t>
    </r>
    <r>
      <rPr>
        <b/>
        <sz val="10.5"/>
        <rFont val="Arial"/>
        <family val="2"/>
      </rPr>
      <t/>
    </r>
  </si>
  <si>
    <t>2. Formelanpassung, so dass nun auch wieder gebietsbezogene Fallzahlen mit bundesweiten Wachstumsraten kombiniert werden können.</t>
  </si>
  <si>
    <t>Max-Planck-Institut</t>
  </si>
  <si>
    <r>
      <rPr>
        <b/>
        <u/>
        <sz val="10.5"/>
        <rFont val="Arial"/>
        <family val="2"/>
      </rPr>
      <t>Updates in der Version 4.0</t>
    </r>
    <r>
      <rPr>
        <sz val="10.5"/>
        <rFont val="Arial"/>
        <family val="2"/>
      </rPr>
      <t xml:space="preserve">
</t>
    </r>
    <r>
      <rPr>
        <b/>
        <sz val="10.5"/>
        <rFont val="Arial"/>
        <family val="2"/>
      </rPr>
      <t/>
    </r>
  </si>
  <si>
    <r>
      <rPr>
        <b/>
        <sz val="11"/>
        <rFont val="Arial"/>
        <family val="2"/>
      </rPr>
      <t>Dr. Ulf Dennler,</t>
    </r>
    <r>
      <rPr>
        <sz val="11"/>
        <rFont val="Arial"/>
        <family val="2"/>
      </rPr>
      <t xml:space="preserve"> Geschäftsbereichsleiter Medizincontrolling der München Klinik
</t>
    </r>
    <r>
      <rPr>
        <b/>
        <sz val="11"/>
        <rFont val="Arial"/>
        <family val="2"/>
      </rPr>
      <t>Dr. Klaus Schliz,</t>
    </r>
    <r>
      <rPr>
        <sz val="11"/>
        <rFont val="Arial"/>
        <family val="2"/>
      </rPr>
      <t xml:space="preserve"> Stellv. Landesdirektor der Bereitschaften DRK Baden-Württemberg
</t>
    </r>
    <r>
      <rPr>
        <b/>
        <sz val="11"/>
        <rFont val="Arial"/>
        <family val="2"/>
      </rPr>
      <t>Dr. Joachim Koster,</t>
    </r>
    <r>
      <rPr>
        <sz val="11"/>
        <rFont val="Arial"/>
        <family val="2"/>
      </rPr>
      <t xml:space="preserve"> Leiter Medizincontrolling, Universitätsklinikum Freiburg
</t>
    </r>
    <r>
      <rPr>
        <b/>
        <sz val="11"/>
        <rFont val="Arial"/>
        <family val="2"/>
      </rPr>
      <t>Marco Wollscheid,</t>
    </r>
    <r>
      <rPr>
        <sz val="11"/>
        <rFont val="Arial"/>
        <family val="2"/>
      </rPr>
      <t xml:space="preserve"> Regionalleiter Controlling, HELIOS Region Ost
</t>
    </r>
    <r>
      <rPr>
        <b/>
        <sz val="11"/>
        <rFont val="Arial"/>
        <family val="2"/>
      </rPr>
      <t>Dr. Sven Ständer,</t>
    </r>
    <r>
      <rPr>
        <sz val="11"/>
        <rFont val="Arial"/>
        <family val="2"/>
      </rPr>
      <t xml:space="preserve"> Ärztlicher Direktor Spital Männedorf, Schweiz</t>
    </r>
  </si>
  <si>
    <t>Rechenmethodik</t>
  </si>
  <si>
    <t>Beginn der 2. Welle</t>
  </si>
  <si>
    <r>
      <t xml:space="preserve">2. Anpassung der standardisiert hinterlegten </t>
    </r>
    <r>
      <rPr>
        <b/>
        <sz val="10.5"/>
        <rFont val="Arial"/>
        <family val="2"/>
      </rPr>
      <t>Quote erfasster Fälle</t>
    </r>
    <r>
      <rPr>
        <sz val="10.5"/>
        <rFont val="Arial"/>
        <family val="2"/>
      </rPr>
      <t xml:space="preserve"> an tatsächlichen Fällen: Aufgrund der verbesserten Teststruktur in Deutschland ist der zuletzt hinterlegte Anteil von 15% nicht mehr aktuell. Auf Basis einer Untersuchung der Max-Planck-Gesellschaft (4. Juni 2020) ist nun der Standardwert 55% hinterlegt.</t>
    </r>
  </si>
  <si>
    <r>
      <t xml:space="preserve">1. </t>
    </r>
    <r>
      <rPr>
        <b/>
        <sz val="10.5"/>
        <rFont val="Arial"/>
        <family val="2"/>
      </rPr>
      <t>Anpassung der ZEQ-Prognosemethodik:</t>
    </r>
    <r>
      <rPr>
        <sz val="10.5"/>
        <rFont val="Arial"/>
        <family val="2"/>
      </rPr>
      <t xml:space="preserve"> Um die zweite Welle besser abzubilden, behandeln wir die Fallzahlen ab 1. September als neuen Ausgangspunkt. Das Ausgangsdatum kann im Arbeitsblatt "Erkrankungs- und Strukturdaten" angepasst werdne. Die Prognose entspricht so der bereits bei der ersten Welle bewährten Methodik.</t>
    </r>
  </si>
  <si>
    <t>1. Aufnahme einer zweiten Szenario-Methodik (Worst Case) für eine Prognose ohne Gegensteuerung.</t>
  </si>
  <si>
    <r>
      <rPr>
        <b/>
        <u/>
        <sz val="10.5"/>
        <rFont val="Arial"/>
        <family val="2"/>
      </rPr>
      <t>Updates in der Version 4.1</t>
    </r>
    <r>
      <rPr>
        <sz val="10.5"/>
        <rFont val="Arial"/>
        <family val="2"/>
      </rPr>
      <t xml:space="preserve">
</t>
    </r>
    <r>
      <rPr>
        <b/>
        <sz val="10.5"/>
        <rFont val="Arial"/>
        <family val="2"/>
      </rPr>
      <t/>
    </r>
  </si>
  <si>
    <r>
      <t xml:space="preserve">1. </t>
    </r>
    <r>
      <rPr>
        <b/>
        <sz val="10.5"/>
        <rFont val="Arial"/>
        <family val="2"/>
      </rPr>
      <t>Korrektur der Formel zur Berechnung der Wachstumsrate:</t>
    </r>
    <r>
      <rPr>
        <sz val="10.5"/>
        <rFont val="Arial"/>
        <family val="2"/>
      </rPr>
      <t xml:space="preserve"> Seit der Version 4.0 bleiben bei der Berechnung der Wachstumsrate die Fallzahlen der "ersten Welle" außen vor. Dies war bei gebietsbezogenen Fallzahlen noch nicht richtig umgesetzt, so dass nicht die gebietsbezogenen Fallzahlen der ersten Welle, sondern die bundesweiten Fallzahlen der ersten Welle abgezogen wurden.</t>
    </r>
  </si>
  <si>
    <r>
      <rPr>
        <b/>
        <u/>
        <sz val="10.5"/>
        <rFont val="Arial"/>
        <family val="2"/>
      </rPr>
      <t>Updates in der Version 4.2</t>
    </r>
    <r>
      <rPr>
        <sz val="10.5"/>
        <rFont val="Arial"/>
        <family val="2"/>
      </rPr>
      <t xml:space="preserve">
</t>
    </r>
    <r>
      <rPr>
        <b/>
        <sz val="10.5"/>
        <rFont val="Arial"/>
        <family val="2"/>
      </rPr>
      <t/>
    </r>
  </si>
  <si>
    <t>RKI: Laut dem DIVI-Intensivregister werden aktuell 49% der intensivmedizinisch behandelten Erkrankten beatmet</t>
  </si>
  <si>
    <t>RKI-Lagebericht vom 6.10.2020: Hospitalisierungsrate 14%</t>
  </si>
  <si>
    <t>RKI:Für Deutschland wurde der Anteil intensivpflichtiger Patienten auf ca. 8 % geschätzt</t>
  </si>
  <si>
    <r>
      <rPr>
        <b/>
        <u/>
        <sz val="10.5"/>
        <rFont val="Arial"/>
        <family val="2"/>
      </rPr>
      <t>Updates in der Version 4.3</t>
    </r>
    <r>
      <rPr>
        <sz val="10.5"/>
        <rFont val="Arial"/>
        <family val="2"/>
      </rPr>
      <t xml:space="preserve">
</t>
    </r>
    <r>
      <rPr>
        <b/>
        <sz val="10.5"/>
        <rFont val="Arial"/>
        <family val="2"/>
      </rPr>
      <t/>
    </r>
  </si>
  <si>
    <r>
      <rPr>
        <b/>
        <sz val="10.5"/>
        <rFont val="Arial"/>
        <family val="2"/>
      </rPr>
      <t xml:space="preserve">Korrektur bei Berechnung mit Marktanteil: </t>
    </r>
    <r>
      <rPr>
        <sz val="10.5"/>
        <rFont val="Arial"/>
        <family val="2"/>
      </rPr>
      <t>Wenn für ein Krankenhaus der Marktanteil angegeben und gebietsbezogene Fallzahlen eingegeben wurden, fand der Marktanteil bei der Berechnung der Fallzahlen keine Berücksichtigung. Das ist nun korrigiert.</t>
    </r>
  </si>
  <si>
    <r>
      <rPr>
        <b/>
        <sz val="10.5"/>
        <rFont val="Arial"/>
        <family val="2"/>
      </rPr>
      <t>Berechnung bei Durchschnitt-Verweildauern mit Nachkommastellen:</t>
    </r>
    <r>
      <rPr>
        <sz val="10.5"/>
        <rFont val="Arial"/>
        <family val="2"/>
      </rPr>
      <t xml:space="preserve"> Im Arbeitsblatt "Erkrankungs- und Strukturdaten" werden in den Zellen C14, C15 und C16 die durchschnittlichen Verweildauern auf Normalstation, Intensivstation und post-Intensiv abgefragt. Wenn hier Werte mit Nachkommastellen eingegeben wurden, führte die Berechnung des Prognoseergebnisses zu einer Fehlermeldung. Dieses Problem ist nun behoben.</t>
    </r>
  </si>
  <si>
    <t>Wachstum der Gesamtinfektionen</t>
  </si>
  <si>
    <t>Entwicklung der Neuinfektionen</t>
  </si>
  <si>
    <t>Methodik kurz</t>
  </si>
  <si>
    <t>Neuinf</t>
  </si>
  <si>
    <t>Gesamtinf</t>
  </si>
  <si>
    <t>WorstC</t>
  </si>
  <si>
    <t>Wachstumsrate II</t>
  </si>
  <si>
    <t>Gebietsbezogen: 7-Tage-Wachstumsrate</t>
  </si>
  <si>
    <t>Gebietsbezogen: Reduzierte 7-Tage-Wachstumsrate</t>
  </si>
  <si>
    <r>
      <rPr>
        <b/>
        <sz val="10"/>
        <rFont val="Arial"/>
        <family val="2"/>
      </rPr>
      <t xml:space="preserve">Wachstum der Gesamtinfektionen: </t>
    </r>
    <r>
      <rPr>
        <sz val="10"/>
        <rFont val="Arial"/>
        <family val="2"/>
      </rPr>
      <t xml:space="preserve">Prognosmethodik, die die Zahl der Gesamtinfektionen fortschreibt und daraus die Neuinfektionen berechnet. Diese Methodik findet seit Version 2.0 Anwendung.
</t>
    </r>
    <r>
      <rPr>
        <b/>
        <sz val="10"/>
        <rFont val="Arial"/>
        <family val="2"/>
      </rPr>
      <t>Entwicklung der Neuinfektionen:</t>
    </r>
    <r>
      <rPr>
        <sz val="10"/>
        <rFont val="Arial"/>
        <family val="2"/>
      </rPr>
      <t xml:space="preserve"> Prognosemethodik, die alleine die Entwicklung der Neuinfektionen zur Grundlage nimmt und dementsprechend keinen Peak berücksichtigt. Diese Methodik wurde mit Version 5.0 hinzugenommen.
</t>
    </r>
    <r>
      <rPr>
        <b/>
        <sz val="10"/>
        <rFont val="Arial"/>
        <family val="2"/>
      </rPr>
      <t xml:space="preserve">Worst Case: </t>
    </r>
    <r>
      <rPr>
        <sz val="10"/>
        <rFont val="Arial"/>
        <family val="2"/>
      </rPr>
      <t>Epidemiologische Methodik (deutlich höhere Fallzahlentwicklung) - entspricht einer Prognose ohne Gegenmaßnahmen</t>
    </r>
  </si>
  <si>
    <r>
      <rPr>
        <b/>
        <u/>
        <sz val="10.5"/>
        <rFont val="Arial"/>
        <family val="2"/>
      </rPr>
      <t>Updates in der Version 5.0</t>
    </r>
    <r>
      <rPr>
        <sz val="10.5"/>
        <rFont val="Arial"/>
        <family val="2"/>
      </rPr>
      <t xml:space="preserve">
</t>
    </r>
    <r>
      <rPr>
        <b/>
        <sz val="10.5"/>
        <rFont val="Arial"/>
        <family val="2"/>
      </rPr>
      <t/>
    </r>
  </si>
  <si>
    <r>
      <rPr>
        <b/>
        <sz val="10.5"/>
        <rFont val="Arial"/>
        <family val="2"/>
      </rPr>
      <t xml:space="preserve">Grundlegende Überarbeitung der Prognoseformel: </t>
    </r>
    <r>
      <rPr>
        <sz val="10.5"/>
        <rFont val="Arial"/>
        <family val="2"/>
      </rPr>
      <t>Die Prognoseformel orientiert sich jetzt nicht mehr an der Anzahl der Infizierten, sondern an der Zahl der Neuinfektionen. Das Wachstum errechnet sich aus dem Mittelwert der letzten sieben Tage im Vergleich zu den sieben Tagen davor. Die Anzahl der Auswahlparameter zur Wachstumsrate wurde eingeschränkt. Die Eingabe eines Ausgangswertes ergibt nun keinen Sinn mehr und wurde deshalb ausgeblendet.</t>
    </r>
  </si>
  <si>
    <r>
      <rPr>
        <b/>
        <u/>
        <sz val="10.5"/>
        <rFont val="Arial"/>
        <family val="2"/>
      </rPr>
      <t>Updates in der Version 5.1</t>
    </r>
    <r>
      <rPr>
        <sz val="10.5"/>
        <rFont val="Arial"/>
        <family val="2"/>
      </rPr>
      <t xml:space="preserve">
</t>
    </r>
    <r>
      <rPr>
        <b/>
        <sz val="10.5"/>
        <rFont val="Arial"/>
        <family val="2"/>
      </rPr>
      <t/>
    </r>
  </si>
  <si>
    <r>
      <rPr>
        <b/>
        <sz val="10.5"/>
        <rFont val="Arial"/>
        <family val="2"/>
      </rPr>
      <t>Zusammenführung der Prognosemethoden aus den Versionen 4.3 und 5.0:</t>
    </r>
    <r>
      <rPr>
        <sz val="10.5"/>
        <rFont val="Arial"/>
        <family val="2"/>
      </rPr>
      <t xml:space="preserve"> Nachdem mehrere Nutzer darum gebeten haben, weiter die Prognosemethodik der Version 4.3 weiter nutzen zu können, stehen in Version 5.1 nun beide Methodiken wahlweise zur Verfügung. Die alte Methodik nennt sich nun "Wachstum der Gesamtinfektionen", die neuere Methodik "Entwicklung der Neuinfektionen".</t>
    </r>
  </si>
  <si>
    <t>Version 5.1</t>
  </si>
  <si>
    <r>
      <t xml:space="preserve">Drop-Down-Menü
</t>
    </r>
    <r>
      <rPr>
        <sz val="10"/>
        <rFont val="Calibri"/>
        <family val="2"/>
      </rPr>
      <t>←←←←←←←</t>
    </r>
  </si>
  <si>
    <t>Schweizweit: Dynamische Wachstumsrate</t>
  </si>
  <si>
    <t>Quelle Neuinfektionen</t>
  </si>
  <si>
    <t>RKI bundesweit</t>
  </si>
  <si>
    <t>BAG Schweiz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</si>
</sst>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0;\-#,##0;0"/>
    <numFmt numFmtId="166" formatCode="&quot;Stand &quot;[$-407]d/\ mmmm\ yyyy;@"/>
    <numFmt numFmtId="167" formatCode="&quot;letzte Aktualisierung: &quot;dd/mm/yyyy"/>
    <numFmt numFmtId="168" formatCode="_-* #,##0_-;\-* #,##0_-;_-* &quot;-&quot;??_-;_-@_-"/>
    <numFmt numFmtId="169" formatCode="dd\.mm\.yyyy"/>
    <numFmt numFmtId="170" formatCode="#,##0_ ;\-#,##0\ "/>
    <numFmt numFmtId="171" formatCode="dddd"/>
  </numFmts>
  <fonts count="54" x14ac:knownFonts="1">
    <font>
      <sz val="10"/>
      <name val="Arial"/>
    </font>
    <font>
      <sz val="11"/>
      <color theme="1"/>
      <name val="Arial"/>
      <family val="2"/>
      <scheme val="minor"/>
    </font>
    <font>
      <sz val="11"/>
      <color theme="1"/>
      <name val="Arial"/>
      <family val="2"/>
      <scheme val="minor"/>
    </font>
    <font>
      <sz val="11"/>
      <color theme="1"/>
      <name val="Arial"/>
      <family val="2"/>
    </font>
    <font>
      <sz val="10"/>
      <name val="Arial"/>
      <family val="2"/>
    </font>
    <font>
      <sz val="10"/>
      <name val="Arial"/>
      <family val="2"/>
    </font>
    <font>
      <sz val="11"/>
      <name val="Arial"/>
      <family val="2"/>
    </font>
    <font>
      <b/>
      <sz val="11"/>
      <name val="Arial"/>
      <family val="2"/>
    </font>
    <font>
      <sz val="9"/>
      <name val="Arial"/>
      <family val="2"/>
    </font>
    <font>
      <sz val="11"/>
      <color theme="0"/>
      <name val="Arial"/>
      <family val="2"/>
    </font>
    <font>
      <b/>
      <sz val="11"/>
      <color theme="0"/>
      <name val="Arial"/>
      <family val="2"/>
    </font>
    <font>
      <b/>
      <sz val="10"/>
      <name val="Arial"/>
      <family val="2"/>
    </font>
    <font>
      <sz val="11"/>
      <color rgb="FFC00000"/>
      <name val="Arial"/>
      <family val="2"/>
    </font>
    <font>
      <b/>
      <sz val="11"/>
      <color rgb="FFC00000"/>
      <name val="Arial"/>
      <family val="2"/>
    </font>
    <font>
      <i/>
      <sz val="11"/>
      <name val="Arial"/>
      <family val="2"/>
    </font>
    <font>
      <sz val="10"/>
      <color theme="0"/>
      <name val="Arial"/>
      <family val="2"/>
    </font>
    <font>
      <b/>
      <sz val="11"/>
      <color theme="1"/>
      <name val="Arial"/>
      <family val="2"/>
    </font>
    <font>
      <b/>
      <sz val="12"/>
      <name val="Arial"/>
      <family val="2"/>
    </font>
    <font>
      <b/>
      <u/>
      <sz val="11"/>
      <name val="Arial"/>
      <family val="2"/>
    </font>
    <font>
      <i/>
      <sz val="10"/>
      <name val="Arial"/>
      <family val="2"/>
    </font>
    <font>
      <sz val="8"/>
      <name val="Arial"/>
      <family val="2"/>
    </font>
    <font>
      <b/>
      <sz val="14"/>
      <name val="Arial"/>
      <family val="2"/>
    </font>
    <font>
      <sz val="10"/>
      <name val="Arial"/>
      <family val="2"/>
    </font>
    <font>
      <sz val="10"/>
      <color theme="1"/>
      <name val="Arial"/>
      <family val="2"/>
    </font>
    <font>
      <sz val="8"/>
      <color theme="1"/>
      <name val="Arial"/>
      <family val="2"/>
    </font>
    <font>
      <b/>
      <sz val="8"/>
      <name val="Arial"/>
      <family val="2"/>
    </font>
    <font>
      <sz val="8"/>
      <color rgb="FF363636"/>
      <name val="Arial"/>
      <family val="2"/>
    </font>
    <font>
      <b/>
      <sz val="8"/>
      <color theme="0"/>
      <name val="Arial"/>
      <family val="2"/>
    </font>
    <font>
      <sz val="10.5"/>
      <name val="Arial"/>
      <family val="2"/>
    </font>
    <font>
      <b/>
      <u/>
      <sz val="12"/>
      <name val="Arial"/>
      <family val="2"/>
    </font>
    <font>
      <b/>
      <sz val="14"/>
      <color theme="1"/>
      <name val="Arial"/>
      <family val="2"/>
    </font>
    <font>
      <b/>
      <sz val="10"/>
      <color theme="1"/>
      <name val="Arial"/>
      <family val="2"/>
    </font>
    <font>
      <b/>
      <sz val="14"/>
      <color theme="0"/>
      <name val="Arial"/>
      <family val="2"/>
    </font>
    <font>
      <u/>
      <sz val="11"/>
      <name val="Arial"/>
      <family val="2"/>
    </font>
    <font>
      <b/>
      <sz val="11"/>
      <color rgb="FF477335"/>
      <name val="Arial"/>
      <family val="2"/>
    </font>
    <font>
      <b/>
      <i/>
      <sz val="11"/>
      <name val="Arial"/>
      <family val="2"/>
    </font>
    <font>
      <b/>
      <sz val="10.5"/>
      <name val="Arial"/>
      <family val="2"/>
    </font>
    <font>
      <b/>
      <u/>
      <sz val="10.5"/>
      <name val="Arial"/>
      <family val="2"/>
    </font>
    <font>
      <b/>
      <sz val="10"/>
      <color theme="0"/>
      <name val="Arial"/>
      <family val="2"/>
    </font>
    <font>
      <sz val="10"/>
      <name val="Calibri"/>
      <family val="2"/>
    </font>
    <font>
      <sz val="10"/>
      <color theme="0" tint="-0.14999847407452621"/>
      <name val="Arial"/>
      <family val="2"/>
    </font>
    <font>
      <sz val="10"/>
      <color rgb="FFFF0000"/>
      <name val="Arial"/>
      <family val="2"/>
    </font>
    <font>
      <u/>
      <sz val="10"/>
      <color theme="10"/>
      <name val="Arial"/>
      <family val="2"/>
    </font>
    <font>
      <sz val="36"/>
      <color theme="0"/>
      <name val="Wingdings 2"/>
      <family val="1"/>
      <charset val="2"/>
    </font>
    <font>
      <sz val="36"/>
      <color theme="0"/>
      <name val="Arial"/>
      <family val="2"/>
    </font>
    <font>
      <sz val="48"/>
      <color theme="0"/>
      <name val="Wingdings 2"/>
      <family val="1"/>
      <charset val="2"/>
    </font>
    <font>
      <sz val="72"/>
      <color theme="0"/>
      <name val="Wingdings 2"/>
      <family val="1"/>
      <charset val="2"/>
    </font>
    <font>
      <sz val="36"/>
      <color rgb="FF6FB055"/>
      <name val="Wingdings 2"/>
      <family val="1"/>
      <charset val="2"/>
    </font>
    <font>
      <sz val="18"/>
      <name val="Arial"/>
      <family val="2"/>
    </font>
    <font>
      <b/>
      <sz val="28"/>
      <name val="Arial"/>
      <family val="2"/>
    </font>
    <font>
      <b/>
      <sz val="8"/>
      <color theme="1"/>
      <name val="Arial"/>
      <family val="2"/>
    </font>
    <font>
      <sz val="8"/>
      <color theme="0"/>
      <name val="Arial"/>
      <family val="2"/>
    </font>
    <font>
      <u/>
      <sz val="11"/>
      <color theme="10"/>
      <name val="Arial"/>
      <family val="2"/>
      <scheme val="minor"/>
    </font>
    <font>
      <sz val="11"/>
      <color rgb="FFFF0000"/>
      <name val="Arial"/>
      <family val="2"/>
    </font>
  </fonts>
  <fills count="1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6FB055"/>
        <bgColor indexed="64"/>
      </patternFill>
    </fill>
    <fill>
      <patternFill patternType="solid">
        <fgColor rgb="FFC0DDB5"/>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bgColor indexed="64"/>
      </patternFill>
    </fill>
    <fill>
      <patternFill patternType="solid">
        <fgColor rgb="FFF5F5F5"/>
        <bgColor indexed="64"/>
      </patternFill>
    </fill>
    <fill>
      <patternFill patternType="solid">
        <fgColor theme="3" tint="0.79998168889431442"/>
        <bgColor indexed="64"/>
      </patternFill>
    </fill>
    <fill>
      <patternFill patternType="solid">
        <fgColor rgb="FF477335"/>
        <bgColor indexed="64"/>
      </patternFill>
    </fill>
    <fill>
      <patternFill patternType="solid">
        <fgColor theme="7" tint="0.79998168889431442"/>
        <bgColor indexed="64"/>
      </patternFill>
    </fill>
    <fill>
      <patternFill patternType="solid">
        <fgColor theme="2"/>
        <bgColor indexed="64"/>
      </patternFill>
    </fill>
    <fill>
      <patternFill patternType="solid">
        <fgColor rgb="FFFF0000"/>
        <bgColor indexed="64"/>
      </patternFill>
    </fill>
    <fill>
      <patternFill patternType="solid">
        <fgColor theme="1"/>
        <bgColor indexed="64"/>
      </patternFill>
    </fill>
    <fill>
      <patternFill patternType="solid">
        <fgColor theme="6"/>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6FB055"/>
      </left>
      <right style="thin">
        <color rgb="FF6FB055"/>
      </right>
      <top style="thin">
        <color rgb="FF6FB055"/>
      </top>
      <bottom/>
      <diagonal/>
    </border>
    <border>
      <left style="thin">
        <color rgb="FF6FB055"/>
      </left>
      <right style="thin">
        <color rgb="FF6FB055"/>
      </right>
      <top/>
      <bottom/>
      <diagonal/>
    </border>
    <border>
      <left style="thin">
        <color rgb="FF6FB055"/>
      </left>
      <right style="thin">
        <color rgb="FF6FB055"/>
      </right>
      <top/>
      <bottom style="thin">
        <color rgb="FF6FB05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9">
    <xf numFmtId="0" fontId="0" fillId="0" borderId="0"/>
    <xf numFmtId="0" fontId="4" fillId="0" borderId="0"/>
    <xf numFmtId="0" fontId="5" fillId="0" borderId="0"/>
    <xf numFmtId="43" fontId="22" fillId="0" borderId="0" applyFont="0" applyFill="0" applyBorder="0" applyAlignment="0" applyProtection="0"/>
    <xf numFmtId="9" fontId="22" fillId="0" borderId="0" applyFont="0" applyFill="0" applyBorder="0" applyAlignment="0" applyProtection="0"/>
    <xf numFmtId="0" fontId="42" fillId="0" borderId="0" applyNumberFormat="0" applyFill="0" applyBorder="0" applyAlignment="0" applyProtection="0"/>
    <xf numFmtId="0" fontId="2" fillId="0" borderId="0"/>
    <xf numFmtId="0" fontId="3" fillId="0" borderId="0"/>
    <xf numFmtId="0" fontId="4" fillId="0" borderId="0"/>
    <xf numFmtId="0" fontId="3" fillId="0" borderId="0"/>
    <xf numFmtId="0" fontId="2" fillId="0" borderId="0"/>
    <xf numFmtId="0" fontId="52" fillId="0" borderId="0" applyNumberForma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2" fillId="0" borderId="0" applyNumberFormat="0" applyFill="0" applyBorder="0" applyAlignment="0" applyProtection="0"/>
    <xf numFmtId="0" fontId="1" fillId="0" borderId="0"/>
    <xf numFmtId="0" fontId="4" fillId="0" borderId="0"/>
    <xf numFmtId="0" fontId="1" fillId="0" borderId="0"/>
  </cellStyleXfs>
  <cellXfs count="416">
    <xf numFmtId="0" fontId="0" fillId="0" borderId="0" xfId="0"/>
    <xf numFmtId="0" fontId="6" fillId="0" borderId="0" xfId="0" applyFont="1"/>
    <xf numFmtId="14" fontId="6" fillId="0" borderId="0" xfId="0" applyNumberFormat="1" applyFont="1"/>
    <xf numFmtId="0" fontId="6" fillId="0" borderId="1" xfId="0" applyFont="1" applyBorder="1"/>
    <xf numFmtId="3" fontId="6" fillId="0" borderId="2" xfId="0" applyNumberFormat="1" applyFont="1" applyBorder="1" applyAlignment="1">
      <alignment horizontal="center"/>
    </xf>
    <xf numFmtId="3" fontId="6" fillId="0" borderId="3" xfId="0" applyNumberFormat="1" applyFont="1" applyBorder="1" applyAlignment="1">
      <alignment horizontal="center"/>
    </xf>
    <xf numFmtId="3" fontId="6" fillId="2" borderId="3" xfId="0" applyNumberFormat="1" applyFont="1" applyFill="1" applyBorder="1" applyAlignment="1">
      <alignment horizontal="center"/>
    </xf>
    <xf numFmtId="0" fontId="7" fillId="5" borderId="1" xfId="0" applyFont="1" applyFill="1" applyBorder="1" applyAlignment="1">
      <alignment horizontal="center"/>
    </xf>
    <xf numFmtId="0" fontId="6" fillId="0" borderId="1" xfId="0" applyFont="1" applyBorder="1" applyAlignment="1">
      <alignment horizontal="left"/>
    </xf>
    <xf numFmtId="0" fontId="12" fillId="6" borderId="3" xfId="0" applyFont="1" applyFill="1" applyBorder="1"/>
    <xf numFmtId="0" fontId="12" fillId="6" borderId="3" xfId="2" applyFont="1" applyFill="1" applyBorder="1"/>
    <xf numFmtId="0" fontId="6" fillId="6" borderId="3" xfId="0" applyFont="1" applyFill="1" applyBorder="1"/>
    <xf numFmtId="0" fontId="6" fillId="6" borderId="3" xfId="2" applyFont="1" applyFill="1" applyBorder="1"/>
    <xf numFmtId="0" fontId="12" fillId="6" borderId="9" xfId="0" applyFont="1" applyFill="1" applyBorder="1"/>
    <xf numFmtId="0" fontId="6" fillId="6" borderId="10" xfId="0" applyFont="1" applyFill="1" applyBorder="1"/>
    <xf numFmtId="0" fontId="6" fillId="6" borderId="4" xfId="0" applyFont="1" applyFill="1" applyBorder="1"/>
    <xf numFmtId="0" fontId="12" fillId="6" borderId="8" xfId="0" applyFont="1" applyFill="1" applyBorder="1" applyAlignment="1">
      <alignment vertical="center" wrapText="1"/>
    </xf>
    <xf numFmtId="0" fontId="9" fillId="6" borderId="5" xfId="0" applyFont="1" applyFill="1" applyBorder="1" applyAlignment="1">
      <alignment vertical="center" wrapText="1"/>
    </xf>
    <xf numFmtId="0" fontId="13" fillId="6" borderId="8"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9" fillId="0" borderId="0" xfId="0" applyFont="1" applyFill="1" applyBorder="1" applyAlignment="1">
      <alignment wrapText="1"/>
    </xf>
    <xf numFmtId="0" fontId="9" fillId="0" borderId="0" xfId="0" applyFont="1" applyFill="1" applyBorder="1" applyAlignment="1">
      <alignment horizontal="left"/>
    </xf>
    <xf numFmtId="0" fontId="6" fillId="0" borderId="1" xfId="0" applyFont="1" applyFill="1" applyBorder="1"/>
    <xf numFmtId="0" fontId="6" fillId="0" borderId="1" xfId="0" applyFont="1" applyFill="1" applyBorder="1" applyAlignment="1">
      <alignment horizontal="left"/>
    </xf>
    <xf numFmtId="0" fontId="6" fillId="0" borderId="0" xfId="0" applyFont="1" applyFill="1" applyBorder="1" applyAlignment="1">
      <alignment horizontal="center" vertical="center"/>
    </xf>
    <xf numFmtId="0" fontId="6" fillId="0" borderId="0" xfId="0" applyFont="1" applyFill="1"/>
    <xf numFmtId="165" fontId="6" fillId="0" borderId="3" xfId="0" applyNumberFormat="1" applyFont="1" applyFill="1" applyBorder="1" applyAlignment="1">
      <alignment horizontal="center"/>
    </xf>
    <xf numFmtId="14" fontId="6" fillId="2" borderId="3" xfId="0" applyNumberFormat="1" applyFont="1" applyFill="1" applyBorder="1" applyAlignment="1">
      <alignment horizontal="center"/>
    </xf>
    <xf numFmtId="14" fontId="6" fillId="0" borderId="3" xfId="0" applyNumberFormat="1" applyFont="1" applyBorder="1" applyAlignment="1">
      <alignment horizontal="center"/>
    </xf>
    <xf numFmtId="14" fontId="6" fillId="0" borderId="6" xfId="0" applyNumberFormat="1" applyFont="1" applyBorder="1" applyAlignment="1">
      <alignment horizontal="center"/>
    </xf>
    <xf numFmtId="3" fontId="6" fillId="0" borderId="6" xfId="0" applyNumberFormat="1" applyFont="1" applyBorder="1" applyAlignment="1">
      <alignment horizontal="center"/>
    </xf>
    <xf numFmtId="0" fontId="6" fillId="0" borderId="1" xfId="0" applyFont="1" applyFill="1" applyBorder="1" applyAlignment="1"/>
    <xf numFmtId="0" fontId="6" fillId="7" borderId="1" xfId="0" applyFont="1" applyFill="1" applyBorder="1"/>
    <xf numFmtId="0" fontId="6" fillId="7" borderId="1" xfId="0" applyFont="1" applyFill="1" applyBorder="1" applyAlignment="1">
      <alignment horizontal="left"/>
    </xf>
    <xf numFmtId="0" fontId="14" fillId="0" borderId="2" xfId="0" applyFont="1" applyFill="1" applyBorder="1" applyAlignment="1">
      <alignment horizontal="left" vertical="center"/>
    </xf>
    <xf numFmtId="0" fontId="15" fillId="0" borderId="0" xfId="0" applyFont="1"/>
    <xf numFmtId="0" fontId="6" fillId="0" borderId="0" xfId="0" applyFont="1" applyAlignment="1">
      <alignment vertical="top" wrapText="1"/>
    </xf>
    <xf numFmtId="0" fontId="17" fillId="0" borderId="0" xfId="0" applyFont="1" applyAlignment="1">
      <alignment horizontal="center"/>
    </xf>
    <xf numFmtId="9" fontId="6" fillId="3" borderId="1"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center"/>
      <protection locked="0"/>
    </xf>
    <xf numFmtId="0" fontId="6" fillId="3" borderId="13" xfId="0" applyFont="1" applyFill="1" applyBorder="1" applyAlignment="1" applyProtection="1">
      <alignment horizontal="center"/>
      <protection locked="0"/>
    </xf>
    <xf numFmtId="1" fontId="6" fillId="3" borderId="13" xfId="0" applyNumberFormat="1" applyFont="1" applyFill="1" applyBorder="1" applyAlignment="1" applyProtection="1">
      <alignment horizontal="center"/>
      <protection locked="0"/>
    </xf>
    <xf numFmtId="0" fontId="9" fillId="0" borderId="0" xfId="0" applyFont="1"/>
    <xf numFmtId="0" fontId="9" fillId="0" borderId="0" xfId="0" applyFont="1" applyBorder="1"/>
    <xf numFmtId="1" fontId="9" fillId="0" borderId="0" xfId="0" applyNumberFormat="1" applyFont="1"/>
    <xf numFmtId="0" fontId="6" fillId="0" borderId="0" xfId="0" applyFont="1" applyFill="1" applyBorder="1" applyAlignment="1">
      <alignment vertical="top" wrapText="1"/>
    </xf>
    <xf numFmtId="0" fontId="6" fillId="0" borderId="0" xfId="0" applyFont="1" applyFill="1" applyBorder="1" applyAlignment="1">
      <alignment horizontal="left" vertical="top" wrapText="1"/>
    </xf>
    <xf numFmtId="0" fontId="10"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 fillId="0" borderId="0" xfId="0" applyFont="1" applyFill="1" applyBorder="1" applyAlignment="1">
      <alignment horizontal="right" vertical="top" wrapText="1"/>
    </xf>
    <xf numFmtId="0" fontId="6" fillId="0" borderId="0" xfId="0" applyFont="1" applyFill="1" applyBorder="1"/>
    <xf numFmtId="3" fontId="6" fillId="0" borderId="0" xfId="0" applyNumberFormat="1" applyFont="1" applyFill="1" applyBorder="1" applyAlignment="1">
      <alignment horizontal="center"/>
    </xf>
    <xf numFmtId="0" fontId="6" fillId="6" borderId="5" xfId="0" applyFont="1" applyFill="1" applyBorder="1"/>
    <xf numFmtId="0" fontId="6" fillId="6" borderId="5" xfId="2" applyFont="1" applyFill="1" applyBorder="1"/>
    <xf numFmtId="0" fontId="6" fillId="0" borderId="5" xfId="0" applyFont="1" applyFill="1" applyBorder="1"/>
    <xf numFmtId="0" fontId="10"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4" fillId="7" borderId="1" xfId="0" applyFont="1" applyFill="1" applyBorder="1" applyAlignment="1">
      <alignment horizontal="left" vertical="center"/>
    </xf>
    <xf numFmtId="0" fontId="7" fillId="0" borderId="0" xfId="0" applyFont="1" applyAlignment="1">
      <alignment horizontal="left" vertical="center"/>
    </xf>
    <xf numFmtId="0" fontId="4" fillId="0" borderId="0" xfId="0" applyFont="1"/>
    <xf numFmtId="0" fontId="24" fillId="0" borderId="0" xfId="0" applyFont="1"/>
    <xf numFmtId="0" fontId="25" fillId="9" borderId="1" xfId="0" applyFont="1" applyFill="1" applyBorder="1" applyAlignment="1">
      <alignment horizontal="center" vertical="center" wrapText="1"/>
    </xf>
    <xf numFmtId="0" fontId="24" fillId="0" borderId="1" xfId="0" applyFont="1" applyBorder="1"/>
    <xf numFmtId="169" fontId="26" fillId="10" borderId="1" xfId="0" applyNumberFormat="1" applyFont="1" applyFill="1" applyBorder="1" applyAlignment="1">
      <alignment horizontal="center" vertical="center"/>
    </xf>
    <xf numFmtId="3" fontId="26" fillId="10" borderId="1" xfId="0" applyNumberFormat="1" applyFont="1" applyFill="1" applyBorder="1" applyAlignment="1">
      <alignment horizontal="center" vertical="center"/>
    </xf>
    <xf numFmtId="9" fontId="26" fillId="10" borderId="1" xfId="4" applyFont="1" applyFill="1" applyBorder="1" applyAlignment="1">
      <alignment horizontal="center" vertical="center"/>
    </xf>
    <xf numFmtId="169" fontId="20" fillId="10" borderId="1" xfId="0" applyNumberFormat="1" applyFont="1" applyFill="1" applyBorder="1" applyAlignment="1">
      <alignment horizontal="center" vertical="center"/>
    </xf>
    <xf numFmtId="0" fontId="4" fillId="0" borderId="0" xfId="0" applyFont="1" applyBorder="1" applyAlignment="1">
      <alignment horizontal="center"/>
    </xf>
    <xf numFmtId="168" fontId="24" fillId="0" borderId="0" xfId="3" applyNumberFormat="1" applyFont="1" applyBorder="1"/>
    <xf numFmtId="9" fontId="24" fillId="0" borderId="0" xfId="4" applyFont="1" applyFill="1" applyBorder="1"/>
    <xf numFmtId="168" fontId="24" fillId="0" borderId="0" xfId="3" applyNumberFormat="1" applyFont="1" applyFill="1" applyBorder="1"/>
    <xf numFmtId="10" fontId="24" fillId="0" borderId="0" xfId="0" applyNumberFormat="1" applyFont="1" applyFill="1" applyBorder="1"/>
    <xf numFmtId="10" fontId="24" fillId="0" borderId="0" xfId="4" applyNumberFormat="1" applyFont="1" applyFill="1" applyBorder="1"/>
    <xf numFmtId="14" fontId="6" fillId="2" borderId="6" xfId="0" applyNumberFormat="1" applyFont="1" applyFill="1" applyBorder="1" applyAlignment="1">
      <alignment horizontal="center"/>
    </xf>
    <xf numFmtId="3" fontId="6" fillId="2" borderId="6" xfId="0" applyNumberFormat="1" applyFont="1" applyFill="1" applyBorder="1" applyAlignment="1">
      <alignment horizontal="center"/>
    </xf>
    <xf numFmtId="0" fontId="14" fillId="8" borderId="0" xfId="0" applyFont="1" applyFill="1" applyBorder="1" applyAlignment="1">
      <alignment horizontal="center" vertical="center" wrapText="1"/>
    </xf>
    <xf numFmtId="14" fontId="6" fillId="2" borderId="2" xfId="0" applyNumberFormat="1" applyFont="1" applyFill="1" applyBorder="1" applyAlignment="1">
      <alignment horizontal="center"/>
    </xf>
    <xf numFmtId="3" fontId="6" fillId="2" borderId="2" xfId="0" applyNumberFormat="1" applyFont="1" applyFill="1" applyBorder="1" applyAlignment="1">
      <alignment horizontal="center"/>
    </xf>
    <xf numFmtId="14" fontId="6" fillId="0" borderId="2" xfId="0" applyNumberFormat="1" applyFont="1" applyBorder="1" applyAlignment="1">
      <alignment horizontal="center"/>
    </xf>
    <xf numFmtId="3" fontId="15" fillId="0" borderId="0" xfId="0" applyNumberFormat="1" applyFont="1"/>
    <xf numFmtId="14" fontId="15" fillId="0" borderId="0" xfId="0" applyNumberFormat="1" applyFont="1"/>
    <xf numFmtId="0" fontId="23" fillId="0" borderId="0" xfId="0" applyFont="1"/>
    <xf numFmtId="3" fontId="9" fillId="0" borderId="0" xfId="0" applyNumberFormat="1" applyFont="1"/>
    <xf numFmtId="0" fontId="24" fillId="0" borderId="1" xfId="0" applyFont="1" applyBorder="1" applyAlignment="1">
      <alignment horizontal="left" vertical="center"/>
    </xf>
    <xf numFmtId="9" fontId="24" fillId="0" borderId="1" xfId="4" applyFont="1" applyFill="1" applyBorder="1" applyAlignment="1">
      <alignment horizontal="center" vertical="center"/>
    </xf>
    <xf numFmtId="9" fontId="24" fillId="0" borderId="1" xfId="4" applyFont="1" applyFill="1" applyBorder="1" applyAlignment="1">
      <alignment horizontal="center"/>
    </xf>
    <xf numFmtId="169" fontId="20" fillId="13" borderId="1" xfId="0" applyNumberFormat="1" applyFont="1" applyFill="1" applyBorder="1" applyAlignment="1">
      <alignment horizontal="center" vertical="center"/>
    </xf>
    <xf numFmtId="0" fontId="0" fillId="0" borderId="17" xfId="0" applyBorder="1"/>
    <xf numFmtId="0" fontId="0" fillId="0" borderId="18" xfId="0" applyBorder="1"/>
    <xf numFmtId="0" fontId="0" fillId="0" borderId="19" xfId="0" applyBorder="1"/>
    <xf numFmtId="0" fontId="0" fillId="0" borderId="0" xfId="0" applyBorder="1"/>
    <xf numFmtId="0" fontId="0" fillId="0" borderId="20" xfId="0" applyBorder="1"/>
    <xf numFmtId="0" fontId="6" fillId="0" borderId="0" xfId="0" applyFont="1" applyBorder="1"/>
    <xf numFmtId="0" fontId="6" fillId="0" borderId="20" xfId="0" applyFont="1" applyBorder="1"/>
    <xf numFmtId="0" fontId="6" fillId="0" borderId="19" xfId="0" applyFont="1" applyBorder="1" applyAlignment="1">
      <alignment horizontal="left"/>
    </xf>
    <xf numFmtId="0" fontId="6" fillId="0" borderId="0" xfId="0" applyFont="1" applyBorder="1" applyAlignment="1">
      <alignment horizontal="left"/>
    </xf>
    <xf numFmtId="0" fontId="6" fillId="0" borderId="20" xfId="0" applyFont="1" applyBorder="1" applyAlignment="1">
      <alignment horizontal="left"/>
    </xf>
    <xf numFmtId="0" fontId="6" fillId="0" borderId="20" xfId="0" applyFont="1" applyBorder="1" applyAlignment="1">
      <alignment vertical="top" wrapText="1"/>
    </xf>
    <xf numFmtId="0" fontId="0" fillId="0" borderId="21" xfId="0" applyBorder="1"/>
    <xf numFmtId="0" fontId="0" fillId="0" borderId="22" xfId="0" applyBorder="1"/>
    <xf numFmtId="0" fontId="0" fillId="0" borderId="23" xfId="0" applyBorder="1"/>
    <xf numFmtId="3" fontId="26" fillId="13" borderId="1" xfId="0" applyNumberFormat="1" applyFont="1" applyFill="1" applyBorder="1" applyAlignment="1" applyProtection="1">
      <alignment horizontal="center" vertical="center"/>
      <protection locked="0"/>
    </xf>
    <xf numFmtId="0" fontId="7" fillId="5" borderId="1" xfId="0" applyFont="1" applyFill="1" applyBorder="1" applyAlignment="1">
      <alignment horizontal="center"/>
    </xf>
    <xf numFmtId="0" fontId="3" fillId="0" borderId="0" xfId="0" applyFont="1"/>
    <xf numFmtId="0" fontId="23" fillId="0" borderId="0" xfId="0" applyFont="1" applyAlignment="1">
      <alignment vertical="top" wrapText="1"/>
    </xf>
    <xf numFmtId="0" fontId="30" fillId="0" borderId="0" xfId="0" applyFont="1" applyAlignment="1"/>
    <xf numFmtId="0" fontId="16" fillId="7" borderId="1" xfId="0" applyFont="1" applyFill="1" applyBorder="1" applyAlignment="1">
      <alignment horizontal="center" vertical="center" wrapText="1"/>
    </xf>
    <xf numFmtId="0" fontId="0" fillId="0" borderId="16" xfId="0" applyBorder="1"/>
    <xf numFmtId="0" fontId="23" fillId="0" borderId="0" xfId="0" applyFont="1" applyBorder="1"/>
    <xf numFmtId="0" fontId="6" fillId="0" borderId="2" xfId="0" applyFont="1" applyFill="1" applyBorder="1" applyAlignment="1">
      <alignment horizontal="left"/>
    </xf>
    <xf numFmtId="0" fontId="4" fillId="0" borderId="0" xfId="0" applyFont="1" applyAlignment="1">
      <alignment vertical="top" wrapText="1"/>
    </xf>
    <xf numFmtId="0" fontId="4" fillId="0" borderId="7" xfId="0" applyFont="1" applyBorder="1" applyAlignment="1">
      <alignment vertical="top" wrapText="1"/>
    </xf>
    <xf numFmtId="0" fontId="4" fillId="0" borderId="0" xfId="0" applyFont="1" applyAlignment="1">
      <alignment horizontal="right" vertical="top" wrapText="1"/>
    </xf>
    <xf numFmtId="0" fontId="7" fillId="0" borderId="0" xfId="0" applyFont="1"/>
    <xf numFmtId="165" fontId="6" fillId="2" borderId="3" xfId="0" applyNumberFormat="1" applyFont="1" applyFill="1" applyBorder="1" applyAlignment="1">
      <alignment horizontal="center"/>
    </xf>
    <xf numFmtId="165" fontId="6" fillId="0" borderId="3" xfId="0" applyNumberFormat="1" applyFont="1" applyBorder="1" applyAlignment="1">
      <alignment horizontal="center"/>
    </xf>
    <xf numFmtId="165" fontId="6" fillId="0" borderId="2" xfId="0" applyNumberFormat="1" applyFont="1" applyBorder="1" applyAlignment="1">
      <alignment horizontal="center"/>
    </xf>
    <xf numFmtId="165" fontId="6" fillId="0" borderId="6" xfId="0" applyNumberFormat="1" applyFont="1" applyBorder="1" applyAlignment="1">
      <alignment horizontal="center"/>
    </xf>
    <xf numFmtId="165" fontId="6" fillId="2" borderId="2" xfId="0" applyNumberFormat="1" applyFont="1" applyFill="1" applyBorder="1" applyAlignment="1">
      <alignment horizontal="center"/>
    </xf>
    <xf numFmtId="165" fontId="6" fillId="2" borderId="6" xfId="0" applyNumberFormat="1" applyFont="1" applyFill="1" applyBorder="1" applyAlignment="1">
      <alignment horizontal="center"/>
    </xf>
    <xf numFmtId="168" fontId="0" fillId="0" borderId="0" xfId="0" applyNumberFormat="1"/>
    <xf numFmtId="0" fontId="1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6" fillId="0" borderId="0" xfId="0" applyFont="1" applyFill="1" applyAlignment="1">
      <alignment horizontal="left" vertical="top" wrapText="1"/>
    </xf>
    <xf numFmtId="0" fontId="0" fillId="0" borderId="0" xfId="0" applyFill="1"/>
    <xf numFmtId="0" fontId="6" fillId="0" borderId="19" xfId="0" applyFont="1" applyBorder="1" applyAlignment="1">
      <alignment horizontal="left" wrapText="1"/>
    </xf>
    <xf numFmtId="0" fontId="6" fillId="0" borderId="19" xfId="0" applyFont="1" applyBorder="1" applyAlignment="1">
      <alignment horizontal="left" vertical="top" indent="3"/>
    </xf>
    <xf numFmtId="0" fontId="6" fillId="0" borderId="19" xfId="0" applyFont="1" applyBorder="1" applyAlignment="1">
      <alignment horizontal="left" vertical="top" wrapText="1" indent="3"/>
    </xf>
    <xf numFmtId="0" fontId="6" fillId="0" borderId="0" xfId="0" applyFont="1" applyBorder="1" applyAlignment="1">
      <alignment horizontal="left" vertical="top" wrapText="1" indent="3"/>
    </xf>
    <xf numFmtId="0" fontId="6" fillId="0" borderId="0" xfId="0" applyFont="1" applyBorder="1" applyAlignment="1">
      <alignment wrapText="1"/>
    </xf>
    <xf numFmtId="0" fontId="7" fillId="0" borderId="0" xfId="0" applyFont="1" applyBorder="1" applyAlignment="1">
      <alignment horizontal="right" vertical="center" wrapText="1"/>
    </xf>
    <xf numFmtId="0" fontId="4" fillId="0" borderId="0" xfId="0" applyFont="1" applyBorder="1" applyAlignment="1">
      <alignment vertical="center" wrapText="1"/>
    </xf>
    <xf numFmtId="0" fontId="11" fillId="0" borderId="0" xfId="0" applyFont="1" applyBorder="1" applyAlignment="1">
      <alignment horizontal="right" vertical="center" wrapText="1"/>
    </xf>
    <xf numFmtId="0" fontId="19" fillId="8" borderId="0" xfId="0" applyFont="1" applyFill="1" applyBorder="1" applyAlignment="1">
      <alignment horizontal="center" vertical="center" wrapText="1"/>
    </xf>
    <xf numFmtId="0" fontId="38" fillId="11" borderId="1" xfId="0" applyFont="1" applyFill="1" applyBorder="1" applyAlignment="1">
      <alignment horizontal="left" vertical="center" wrapText="1"/>
    </xf>
    <xf numFmtId="14" fontId="4" fillId="8" borderId="13" xfId="0" applyNumberFormat="1" applyFont="1" applyFill="1" applyBorder="1" applyAlignment="1" applyProtection="1">
      <alignment horizontal="left" vertical="center"/>
      <protection locked="0"/>
    </xf>
    <xf numFmtId="3" fontId="4" fillId="8" borderId="13" xfId="0" applyNumberFormat="1" applyFont="1" applyFill="1" applyBorder="1" applyAlignment="1" applyProtection="1">
      <alignment horizontal="left" vertical="center"/>
      <protection locked="0"/>
    </xf>
    <xf numFmtId="14" fontId="4" fillId="8" borderId="1" xfId="0" applyNumberFormat="1" applyFont="1" applyFill="1" applyBorder="1" applyAlignment="1" applyProtection="1">
      <alignment horizontal="left" vertical="center" wrapText="1"/>
      <protection locked="0"/>
    </xf>
    <xf numFmtId="9" fontId="4" fillId="8" borderId="13" xfId="4" applyFont="1" applyFill="1" applyBorder="1" applyAlignment="1" applyProtection="1">
      <alignment horizontal="left" vertical="center"/>
      <protection locked="0"/>
    </xf>
    <xf numFmtId="1" fontId="26" fillId="13" borderId="1" xfId="0" applyNumberFormat="1" applyFont="1" applyFill="1" applyBorder="1" applyAlignment="1" applyProtection="1">
      <alignment horizontal="center" vertical="center"/>
      <protection locked="0"/>
    </xf>
    <xf numFmtId="170" fontId="24" fillId="0" borderId="1" xfId="3" applyNumberFormat="1" applyFont="1" applyFill="1" applyBorder="1" applyAlignment="1">
      <alignment horizontal="center" vertical="center"/>
    </xf>
    <xf numFmtId="14" fontId="24" fillId="0" borderId="1" xfId="3" applyNumberFormat="1" applyFont="1" applyFill="1" applyBorder="1" applyAlignment="1">
      <alignment horizontal="center" vertical="center"/>
    </xf>
    <xf numFmtId="0" fontId="41" fillId="0" borderId="0" xfId="0" applyFont="1"/>
    <xf numFmtId="0" fontId="24" fillId="0" borderId="1" xfId="0" applyFont="1" applyBorder="1" applyAlignment="1" applyProtection="1">
      <alignment horizontal="left" vertical="center"/>
      <protection locked="0"/>
    </xf>
    <xf numFmtId="170" fontId="24" fillId="0" borderId="1" xfId="3" applyNumberFormat="1" applyFont="1" applyFill="1" applyBorder="1" applyAlignment="1" applyProtection="1">
      <alignment horizontal="center" vertical="center"/>
      <protection locked="0"/>
    </xf>
    <xf numFmtId="0" fontId="29" fillId="0" borderId="16" xfId="0" applyFont="1" applyBorder="1" applyAlignment="1">
      <alignment horizontal="left"/>
    </xf>
    <xf numFmtId="0" fontId="6" fillId="0" borderId="19" xfId="0" applyFont="1" applyBorder="1" applyAlignment="1">
      <alignment horizontal="left" wrapText="1"/>
    </xf>
    <xf numFmtId="0" fontId="6" fillId="0" borderId="19" xfId="0" applyFont="1" applyBorder="1" applyAlignment="1">
      <alignment horizontal="left" vertical="top" indent="3"/>
    </xf>
    <xf numFmtId="0" fontId="17" fillId="8" borderId="0" xfId="0" applyFont="1" applyFill="1" applyBorder="1" applyAlignment="1">
      <alignment horizontal="center" vertical="center" wrapText="1"/>
    </xf>
    <xf numFmtId="0" fontId="6" fillId="0" borderId="1" xfId="0" applyFont="1" applyBorder="1" applyAlignment="1">
      <alignment horizontal="left"/>
    </xf>
    <xf numFmtId="0" fontId="11" fillId="0" borderId="0" xfId="0" applyFont="1"/>
    <xf numFmtId="0" fontId="0" fillId="0" borderId="0" xfId="0" applyAlignment="1">
      <alignment horizontal="center"/>
    </xf>
    <xf numFmtId="9" fontId="24" fillId="0" borderId="1" xfId="4" applyNumberFormat="1" applyFont="1" applyFill="1" applyBorder="1" applyAlignment="1">
      <alignment horizontal="center" vertical="center"/>
    </xf>
    <xf numFmtId="0" fontId="0" fillId="15" borderId="2" xfId="0" applyFill="1" applyBorder="1" applyAlignment="1">
      <alignment horizontal="center"/>
    </xf>
    <xf numFmtId="0" fontId="0" fillId="14" borderId="3" xfId="0" applyFill="1" applyBorder="1" applyAlignment="1">
      <alignment horizontal="center"/>
    </xf>
    <xf numFmtId="0" fontId="0" fillId="16" borderId="6" xfId="0" applyFill="1" applyBorder="1" applyAlignment="1">
      <alignment horizontal="center"/>
    </xf>
    <xf numFmtId="0" fontId="11" fillId="0" borderId="0" xfId="0" applyFont="1" applyAlignment="1">
      <alignment horizontal="center"/>
    </xf>
    <xf numFmtId="3" fontId="0" fillId="0" borderId="0" xfId="0" applyNumberFormat="1" applyAlignment="1">
      <alignment horizontal="center"/>
    </xf>
    <xf numFmtId="0" fontId="11" fillId="0" borderId="0" xfId="0" applyFont="1" applyAlignment="1">
      <alignment horizontal="right"/>
    </xf>
    <xf numFmtId="0" fontId="15" fillId="0" borderId="0" xfId="0" applyFont="1" applyAlignment="1">
      <alignment horizontal="center"/>
    </xf>
    <xf numFmtId="169" fontId="26" fillId="13" borderId="1" xfId="0" applyNumberFormat="1" applyFont="1" applyFill="1" applyBorder="1" applyAlignment="1">
      <alignment horizontal="center" vertical="center"/>
    </xf>
    <xf numFmtId="0" fontId="20" fillId="0" borderId="1" xfId="0" applyFont="1" applyFill="1" applyBorder="1" applyAlignment="1">
      <alignment horizontal="left" vertical="center"/>
    </xf>
    <xf numFmtId="3" fontId="15" fillId="0" borderId="0" xfId="0" applyNumberFormat="1" applyFont="1" applyAlignment="1">
      <alignment horizontal="center"/>
    </xf>
    <xf numFmtId="14" fontId="15" fillId="0" borderId="0" xfId="0" applyNumberFormat="1" applyFont="1" applyAlignment="1">
      <alignment horizontal="center"/>
    </xf>
    <xf numFmtId="164" fontId="6" fillId="3" borderId="1" xfId="0" applyNumberFormat="1" applyFont="1" applyFill="1" applyBorder="1" applyAlignment="1" applyProtection="1">
      <alignment horizontal="center" vertical="center"/>
      <protection locked="0"/>
    </xf>
    <xf numFmtId="0" fontId="6" fillId="0" borderId="19" xfId="0" applyFont="1" applyBorder="1" applyAlignment="1">
      <alignment horizontal="left" vertical="top" wrapText="1"/>
    </xf>
    <xf numFmtId="0" fontId="6" fillId="0" borderId="0" xfId="0" applyFont="1" applyBorder="1" applyAlignment="1">
      <alignment horizontal="left" vertical="top" wrapText="1"/>
    </xf>
    <xf numFmtId="0" fontId="6" fillId="0" borderId="20" xfId="0" applyFont="1" applyBorder="1" applyAlignment="1">
      <alignment horizontal="left" vertical="top" wrapText="1"/>
    </xf>
    <xf numFmtId="0" fontId="6" fillId="0" borderId="19" xfId="0" applyFont="1" applyBorder="1" applyAlignment="1">
      <alignment horizontal="left" vertical="top"/>
    </xf>
    <xf numFmtId="0" fontId="6" fillId="0" borderId="0" xfId="0" applyFont="1" applyBorder="1" applyAlignment="1">
      <alignment horizontal="left" vertical="top"/>
    </xf>
    <xf numFmtId="0" fontId="6" fillId="0" borderId="20" xfId="0" applyFont="1" applyBorder="1" applyAlignment="1">
      <alignment horizontal="left" vertical="top"/>
    </xf>
    <xf numFmtId="0" fontId="6" fillId="0" borderId="19" xfId="0" applyFont="1" applyBorder="1" applyAlignment="1">
      <alignment horizontal="left" vertical="top" wrapText="1" indent="3"/>
    </xf>
    <xf numFmtId="0" fontId="6" fillId="0" borderId="0" xfId="0" applyFont="1" applyBorder="1" applyAlignment="1">
      <alignment horizontal="left" vertical="top" wrapText="1" indent="3"/>
    </xf>
    <xf numFmtId="0" fontId="42" fillId="0" borderId="19" xfId="5" applyBorder="1" applyAlignment="1">
      <alignment horizontal="left" vertical="top" wrapText="1" indent="3"/>
    </xf>
    <xf numFmtId="0" fontId="6" fillId="0" borderId="1" xfId="0" applyFont="1" applyBorder="1" applyAlignment="1">
      <alignment horizontal="left"/>
    </xf>
    <xf numFmtId="0" fontId="17" fillId="8" borderId="0" xfId="0" applyFont="1" applyFill="1" applyBorder="1" applyAlignment="1">
      <alignment horizontal="center" vertical="center" wrapText="1"/>
    </xf>
    <xf numFmtId="0" fontId="15" fillId="8" borderId="0" xfId="0" applyFont="1" applyFill="1"/>
    <xf numFmtId="3" fontId="26" fillId="3" borderId="1" xfId="0" applyNumberFormat="1" applyFont="1" applyFill="1" applyBorder="1" applyAlignment="1" applyProtection="1">
      <alignment horizontal="center" vertical="center"/>
      <protection locked="0"/>
    </xf>
    <xf numFmtId="0" fontId="0" fillId="0" borderId="0" xfId="0" applyProtection="1">
      <protection locked="0"/>
    </xf>
    <xf numFmtId="9" fontId="24" fillId="0" borderId="1" xfId="0" applyNumberFormat="1" applyFont="1" applyFill="1" applyBorder="1" applyAlignment="1">
      <alignment horizontal="center" vertical="center"/>
    </xf>
    <xf numFmtId="0" fontId="28" fillId="8" borderId="27" xfId="0" applyFont="1" applyFill="1" applyBorder="1" applyAlignment="1">
      <alignment vertical="top" wrapText="1"/>
    </xf>
    <xf numFmtId="0" fontId="28" fillId="12" borderId="1" xfId="0" applyFont="1" applyFill="1" applyBorder="1" applyAlignment="1">
      <alignment horizontal="center" vertical="center" wrapText="1"/>
    </xf>
    <xf numFmtId="0" fontId="12" fillId="6" borderId="0" xfId="0" applyFont="1" applyFill="1"/>
    <xf numFmtId="0" fontId="6" fillId="6" borderId="0" xfId="0" applyFont="1" applyFill="1"/>
    <xf numFmtId="0" fontId="6" fillId="0" borderId="1" xfId="0" applyFont="1" applyBorder="1" applyAlignment="1">
      <alignment horizontal="left"/>
    </xf>
    <xf numFmtId="0" fontId="21" fillId="8" borderId="0" xfId="0" applyFont="1" applyFill="1" applyAlignment="1">
      <alignment horizontal="left" vertical="center"/>
    </xf>
    <xf numFmtId="0" fontId="21" fillId="8" borderId="0" xfId="0" applyFont="1" applyFill="1" applyAlignment="1">
      <alignment horizontal="left" vertical="top"/>
    </xf>
    <xf numFmtId="0" fontId="6" fillId="0" borderId="0" xfId="0" applyFont="1" applyAlignment="1">
      <alignment vertical="top"/>
    </xf>
    <xf numFmtId="0" fontId="9" fillId="0" borderId="0" xfId="0" applyFont="1" applyAlignment="1">
      <alignment vertical="top"/>
    </xf>
    <xf numFmtId="0" fontId="21" fillId="8" borderId="0" xfId="0" applyFont="1" applyFill="1" applyAlignment="1" applyProtection="1">
      <alignment horizontal="left" vertical="center"/>
      <protection locked="0"/>
    </xf>
    <xf numFmtId="0" fontId="21" fillId="8" borderId="0" xfId="0" applyFont="1" applyFill="1" applyAlignment="1" applyProtection="1">
      <alignment horizontal="left" vertical="top"/>
      <protection locked="0"/>
    </xf>
    <xf numFmtId="0" fontId="7" fillId="0" borderId="0" xfId="0" applyFont="1" applyAlignment="1" applyProtection="1">
      <alignment horizontal="left" vertical="center"/>
      <protection locked="0"/>
    </xf>
    <xf numFmtId="0" fontId="14" fillId="8" borderId="0" xfId="0" applyFont="1" applyFill="1" applyBorder="1" applyAlignment="1" applyProtection="1">
      <alignment horizontal="center" vertical="center" wrapText="1"/>
      <protection locked="0"/>
    </xf>
    <xf numFmtId="0" fontId="19" fillId="8" borderId="0" xfId="0" applyFont="1" applyFill="1" applyBorder="1" applyAlignment="1" applyProtection="1">
      <alignment horizontal="center" vertical="center" wrapText="1"/>
      <protection locked="0"/>
    </xf>
    <xf numFmtId="0" fontId="6" fillId="0" borderId="0" xfId="0" applyFont="1" applyProtection="1">
      <protection locked="0"/>
    </xf>
    <xf numFmtId="0" fontId="6" fillId="0" borderId="0" xfId="0" applyFont="1" applyFill="1" applyProtection="1">
      <protection locked="0"/>
    </xf>
    <xf numFmtId="0" fontId="17" fillId="0" borderId="0" xfId="0" applyFont="1" applyAlignment="1"/>
    <xf numFmtId="0" fontId="10" fillId="4" borderId="1" xfId="0" applyFont="1" applyFill="1" applyBorder="1" applyAlignment="1"/>
    <xf numFmtId="0" fontId="10" fillId="4" borderId="14" xfId="0" applyFont="1" applyFill="1" applyBorder="1" applyAlignment="1"/>
    <xf numFmtId="0" fontId="10" fillId="4" borderId="13" xfId="0" applyFont="1" applyFill="1" applyBorder="1" applyAlignment="1"/>
    <xf numFmtId="0" fontId="17" fillId="0" borderId="0" xfId="0" applyFont="1" applyAlignment="1" applyProtection="1">
      <protection locked="0"/>
    </xf>
    <xf numFmtId="0" fontId="17" fillId="0" borderId="0" xfId="0" applyFont="1" applyAlignment="1" applyProtection="1">
      <alignment horizontal="center"/>
      <protection locked="0"/>
    </xf>
    <xf numFmtId="0" fontId="10" fillId="4" borderId="12" xfId="0" applyFont="1" applyFill="1" applyBorder="1" applyAlignment="1" applyProtection="1">
      <protection locked="0"/>
    </xf>
    <xf numFmtId="0" fontId="7" fillId="5" borderId="1" xfId="0" applyFont="1" applyFill="1" applyBorder="1" applyAlignment="1" applyProtection="1">
      <alignment horizontal="center"/>
      <protection locked="0"/>
    </xf>
    <xf numFmtId="164" fontId="9" fillId="0" borderId="0" xfId="0" applyNumberFormat="1" applyFont="1" applyFill="1" applyBorder="1" applyAlignment="1" applyProtection="1">
      <alignment horizontal="center" vertical="center"/>
      <protection locked="0"/>
    </xf>
    <xf numFmtId="164" fontId="24" fillId="0" borderId="1" xfId="4" applyNumberFormat="1" applyFont="1" applyFill="1" applyBorder="1" applyAlignment="1">
      <alignment horizontal="center" vertical="center"/>
    </xf>
    <xf numFmtId="0" fontId="10" fillId="0" borderId="0" xfId="0" applyFont="1"/>
    <xf numFmtId="0" fontId="15" fillId="0" borderId="0" xfId="0" applyFont="1" applyAlignment="1">
      <alignment horizontal="center"/>
    </xf>
    <xf numFmtId="0" fontId="24" fillId="0" borderId="0" xfId="0" applyFont="1" applyBorder="1" applyAlignment="1">
      <alignment horizontal="left" vertical="center"/>
    </xf>
    <xf numFmtId="9" fontId="24" fillId="0" borderId="0" xfId="4" applyFont="1" applyFill="1" applyBorder="1" applyAlignment="1">
      <alignment horizontal="center" vertical="center"/>
    </xf>
    <xf numFmtId="171" fontId="24" fillId="0" borderId="0" xfId="0" applyNumberFormat="1" applyFont="1" applyBorder="1" applyAlignment="1">
      <alignment horizontal="right" vertical="center"/>
    </xf>
    <xf numFmtId="0" fontId="27" fillId="4" borderId="4" xfId="0" applyFont="1" applyFill="1" applyBorder="1" applyAlignment="1">
      <alignment horizontal="center" vertical="center"/>
    </xf>
    <xf numFmtId="0" fontId="25" fillId="9" borderId="6" xfId="0" applyFont="1" applyFill="1" applyBorder="1" applyAlignment="1">
      <alignment horizontal="center" vertical="center" wrapText="1"/>
    </xf>
    <xf numFmtId="9" fontId="24" fillId="7" borderId="0" xfId="4" applyFont="1" applyFill="1" applyBorder="1" applyAlignment="1">
      <alignment horizontal="center" vertical="center"/>
    </xf>
    <xf numFmtId="0" fontId="50" fillId="7" borderId="0" xfId="0" applyFont="1" applyFill="1" applyBorder="1" applyAlignment="1">
      <alignment horizontal="left" vertical="center"/>
    </xf>
    <xf numFmtId="0" fontId="51" fillId="0" borderId="0" xfId="0" applyFont="1" applyAlignment="1">
      <alignment horizontal="center"/>
    </xf>
    <xf numFmtId="0" fontId="12" fillId="6" borderId="10" xfId="0" applyFont="1" applyFill="1" applyBorder="1"/>
    <xf numFmtId="0" fontId="51" fillId="8" borderId="0" xfId="0" applyFont="1" applyFill="1" applyAlignment="1">
      <alignment horizontal="center"/>
    </xf>
    <xf numFmtId="0" fontId="51" fillId="8" borderId="0" xfId="0" applyFont="1" applyFill="1"/>
    <xf numFmtId="0" fontId="51" fillId="0" borderId="0" xfId="0" applyFont="1"/>
    <xf numFmtId="0" fontId="15" fillId="0" borderId="0" xfId="0" applyFont="1" applyAlignment="1">
      <alignment horizontal="center"/>
    </xf>
    <xf numFmtId="0" fontId="15" fillId="0" borderId="0" xfId="0" applyFont="1" applyAlignment="1">
      <alignment horizontal="center"/>
    </xf>
    <xf numFmtId="3" fontId="23" fillId="0" borderId="0" xfId="0" applyNumberFormat="1" applyFont="1" applyAlignment="1">
      <alignment horizontal="center"/>
    </xf>
    <xf numFmtId="0" fontId="6" fillId="0" borderId="1" xfId="0" applyFont="1" applyBorder="1" applyAlignment="1">
      <alignment horizontal="left"/>
    </xf>
    <xf numFmtId="0" fontId="7" fillId="5" borderId="1" xfId="0" applyFont="1" applyFill="1" applyBorder="1" applyAlignment="1">
      <alignment horizontal="center"/>
    </xf>
    <xf numFmtId="0" fontId="6" fillId="0" borderId="0" xfId="0" applyFont="1" applyAlignment="1">
      <alignment vertical="top" wrapText="1"/>
    </xf>
    <xf numFmtId="166" fontId="19" fillId="0" borderId="0" xfId="0" applyNumberFormat="1" applyFont="1" applyAlignment="1" applyProtection="1">
      <alignment horizontal="right"/>
      <protection locked="0"/>
    </xf>
    <xf numFmtId="14" fontId="6" fillId="3" borderId="1" xfId="0" applyNumberFormat="1" applyFont="1" applyFill="1" applyBorder="1" applyAlignment="1" applyProtection="1">
      <alignment horizontal="center"/>
      <protection locked="0"/>
    </xf>
    <xf numFmtId="3" fontId="0" fillId="0" borderId="0" xfId="0" applyNumberFormat="1"/>
    <xf numFmtId="0" fontId="9" fillId="0" borderId="0" xfId="0" applyFont="1" applyFill="1" applyBorder="1"/>
    <xf numFmtId="0" fontId="9" fillId="0" borderId="0" xfId="0" applyFont="1" applyFill="1" applyBorder="1" applyAlignment="1">
      <alignment vertical="top"/>
    </xf>
    <xf numFmtId="0" fontId="9" fillId="0" borderId="0" xfId="0" applyFont="1" applyAlignment="1">
      <alignment horizontal="center" vertical="top"/>
    </xf>
    <xf numFmtId="0" fontId="9" fillId="0" borderId="0" xfId="0" applyFont="1" applyAlignment="1">
      <alignment horizontal="center"/>
    </xf>
    <xf numFmtId="0" fontId="15" fillId="0" borderId="0" xfId="0" applyFont="1" applyAlignment="1">
      <alignment vertical="top" wrapText="1"/>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15" fillId="0" borderId="0" xfId="0" applyFont="1" applyFill="1" applyBorder="1" applyAlignment="1">
      <alignment horizontal="right" vertical="top" wrapText="1"/>
    </xf>
    <xf numFmtId="0" fontId="15" fillId="0" borderId="0" xfId="0" applyFont="1" applyFill="1" applyBorder="1" applyAlignment="1">
      <alignment horizontal="right" wrapText="1"/>
    </xf>
    <xf numFmtId="0" fontId="6" fillId="0" borderId="0" xfId="0" applyFont="1" applyAlignment="1">
      <alignment vertical="top" wrapText="1"/>
    </xf>
    <xf numFmtId="0" fontId="28" fillId="8" borderId="28" xfId="0" applyFont="1" applyFill="1" applyBorder="1" applyAlignment="1">
      <alignment vertical="top" wrapText="1"/>
    </xf>
    <xf numFmtId="0" fontId="28" fillId="8" borderId="29" xfId="0" applyFont="1" applyFill="1" applyBorder="1" applyAlignment="1">
      <alignment vertical="top" wrapText="1"/>
    </xf>
    <xf numFmtId="0" fontId="28" fillId="8" borderId="28" xfId="0" applyFont="1" applyFill="1" applyBorder="1" applyAlignment="1">
      <alignment horizontal="left" vertical="top" wrapText="1"/>
    </xf>
    <xf numFmtId="0" fontId="6" fillId="0" borderId="1" xfId="0" applyFont="1" applyBorder="1" applyAlignment="1">
      <alignment horizontal="left"/>
    </xf>
    <xf numFmtId="0" fontId="6" fillId="0" borderId="0" xfId="0" applyFont="1" applyAlignment="1">
      <alignment vertical="top" wrapText="1"/>
    </xf>
    <xf numFmtId="0" fontId="53" fillId="0" borderId="0" xfId="0" applyFont="1"/>
    <xf numFmtId="0" fontId="53" fillId="0" borderId="0" xfId="0" applyFont="1" applyAlignment="1">
      <alignment vertical="top"/>
    </xf>
    <xf numFmtId="0" fontId="41" fillId="0" borderId="0" xfId="0" applyFont="1" applyAlignment="1">
      <alignment vertical="top" wrapText="1"/>
    </xf>
    <xf numFmtId="9" fontId="4" fillId="8" borderId="13" xfId="4" applyFont="1" applyFill="1" applyBorder="1" applyAlignment="1" applyProtection="1">
      <alignment horizontal="left" wrapText="1"/>
      <protection locked="0"/>
    </xf>
    <xf numFmtId="0" fontId="4" fillId="0" borderId="0" xfId="0" applyFont="1" applyAlignment="1">
      <alignment horizontal="center"/>
    </xf>
    <xf numFmtId="0" fontId="6" fillId="0" borderId="0" xfId="0" applyFont="1" applyAlignment="1">
      <alignment vertical="top" wrapText="1"/>
    </xf>
    <xf numFmtId="0" fontId="6" fillId="0" borderId="19" xfId="0" applyFont="1" applyBorder="1" applyAlignment="1">
      <alignment horizontal="left" vertical="top" wrapText="1"/>
    </xf>
    <xf numFmtId="0" fontId="6" fillId="0" borderId="0" xfId="0" applyFont="1" applyBorder="1" applyAlignment="1">
      <alignment horizontal="left" vertical="top" wrapText="1"/>
    </xf>
    <xf numFmtId="0" fontId="6" fillId="0" borderId="20" xfId="0" applyFont="1" applyBorder="1" applyAlignment="1">
      <alignment horizontal="left" vertical="top" wrapText="1"/>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20" xfId="0" applyFont="1" applyBorder="1" applyAlignment="1">
      <alignment horizontal="center" vertical="center"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19" fillId="0" borderId="0" xfId="0" applyFont="1" applyAlignment="1">
      <alignment horizontal="right"/>
    </xf>
    <xf numFmtId="0" fontId="38" fillId="14" borderId="0" xfId="0" applyFont="1" applyFill="1" applyAlignment="1">
      <alignment horizontal="center" vertical="center" wrapText="1"/>
    </xf>
    <xf numFmtId="166" fontId="19" fillId="0" borderId="0" xfId="0" applyNumberFormat="1" applyFont="1" applyAlignment="1" applyProtection="1">
      <alignment horizontal="right"/>
      <protection locked="0"/>
    </xf>
    <xf numFmtId="0" fontId="6" fillId="0" borderId="0" xfId="0" applyFont="1" applyAlignment="1">
      <alignment horizontal="left" vertical="top" wrapText="1"/>
    </xf>
    <xf numFmtId="0" fontId="43"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6" fillId="0" borderId="0" xfId="0" applyFont="1" applyAlignment="1">
      <alignment horizontal="right" vertical="top" wrapText="1"/>
    </xf>
    <xf numFmtId="0" fontId="28" fillId="12" borderId="2" xfId="0" applyFont="1" applyFill="1" applyBorder="1" applyAlignment="1">
      <alignment horizontal="center" vertical="center" wrapText="1"/>
    </xf>
    <xf numFmtId="0" fontId="28" fillId="12" borderId="3" xfId="0" applyFont="1" applyFill="1" applyBorder="1" applyAlignment="1">
      <alignment horizontal="center" vertical="center" wrapText="1"/>
    </xf>
    <xf numFmtId="0" fontId="28" fillId="12" borderId="6" xfId="0" applyFont="1" applyFill="1" applyBorder="1" applyAlignment="1">
      <alignment horizontal="center" vertical="center" wrapText="1"/>
    </xf>
    <xf numFmtId="0" fontId="6" fillId="0" borderId="1" xfId="0" applyFont="1" applyBorder="1" applyAlignment="1">
      <alignment horizontal="left"/>
    </xf>
    <xf numFmtId="0" fontId="6" fillId="7" borderId="1" xfId="0" applyFont="1" applyFill="1" applyBorder="1" applyAlignment="1">
      <alignment horizontal="left" vertical="center"/>
    </xf>
    <xf numFmtId="9" fontId="6" fillId="3" borderId="2" xfId="14" applyFont="1" applyFill="1" applyBorder="1" applyAlignment="1" applyProtection="1">
      <alignment horizontal="center" vertical="center"/>
      <protection locked="0"/>
    </xf>
    <xf numFmtId="9" fontId="6" fillId="3" borderId="6" xfId="14" applyFont="1" applyFill="1" applyBorder="1" applyAlignment="1" applyProtection="1">
      <alignment horizontal="center" vertical="center"/>
      <protection locked="0"/>
    </xf>
    <xf numFmtId="0" fontId="19" fillId="7" borderId="1" xfId="0" applyFont="1" applyFill="1" applyBorder="1" applyAlignment="1">
      <alignment horizontal="left" vertical="center" wrapText="1"/>
    </xf>
    <xf numFmtId="0" fontId="7" fillId="5" borderId="1" xfId="0" applyFont="1" applyFill="1" applyBorder="1" applyAlignment="1">
      <alignment horizontal="center"/>
    </xf>
    <xf numFmtId="0" fontId="8" fillId="0" borderId="1" xfId="0" applyFont="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8" fillId="7" borderId="6" xfId="0" applyFont="1" applyFill="1" applyBorder="1" applyAlignment="1">
      <alignment horizontal="center" vertical="center"/>
    </xf>
    <xf numFmtId="0" fontId="6" fillId="7" borderId="2" xfId="0" applyFont="1" applyFill="1" applyBorder="1" applyAlignment="1">
      <alignment horizontal="left" vertical="center"/>
    </xf>
    <xf numFmtId="0" fontId="6" fillId="7" borderId="6" xfId="0" applyFont="1" applyFill="1" applyBorder="1" applyAlignment="1">
      <alignment horizontal="left" vertical="center"/>
    </xf>
    <xf numFmtId="0" fontId="7" fillId="5" borderId="14" xfId="0" applyFont="1" applyFill="1" applyBorder="1" applyAlignment="1">
      <alignment horizontal="center"/>
    </xf>
    <xf numFmtId="0" fontId="7" fillId="5" borderId="13" xfId="0" applyFont="1" applyFill="1" applyBorder="1" applyAlignment="1">
      <alignment horizontal="center"/>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11" fillId="0" borderId="14" xfId="0" applyFont="1" applyBorder="1" applyAlignment="1">
      <alignment vertical="center" wrapText="1"/>
    </xf>
    <xf numFmtId="0" fontId="11" fillId="0" borderId="12" xfId="0" applyFont="1" applyBorder="1" applyAlignment="1">
      <alignment vertical="center" wrapText="1"/>
    </xf>
    <xf numFmtId="0" fontId="11" fillId="0" borderId="9"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4" fillId="0" borderId="14" xfId="0" applyFont="1" applyBorder="1" applyAlignment="1">
      <alignment vertical="center" wrapText="1"/>
    </xf>
    <xf numFmtId="0" fontId="4" fillId="0" borderId="12" xfId="0" applyFont="1" applyBorder="1" applyAlignment="1">
      <alignment vertical="center" wrapText="1"/>
    </xf>
    <xf numFmtId="0" fontId="4" fillId="0" borderId="0" xfId="0" applyFont="1" applyBorder="1" applyAlignment="1">
      <alignment horizontal="right" vertical="top" wrapText="1"/>
    </xf>
    <xf numFmtId="0" fontId="4" fillId="0" borderId="7" xfId="0" applyFont="1" applyBorder="1" applyAlignment="1">
      <alignment horizontal="right" vertical="top" wrapText="1"/>
    </xf>
    <xf numFmtId="0" fontId="4" fillId="0" borderId="14"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38" fillId="11" borderId="14" xfId="0" applyFont="1" applyFill="1" applyBorder="1" applyAlignment="1">
      <alignment vertical="center" wrapText="1"/>
    </xf>
    <xf numFmtId="0" fontId="38" fillId="11" borderId="12" xfId="0" applyFont="1" applyFill="1" applyBorder="1" applyAlignment="1">
      <alignment vertical="center" wrapText="1"/>
    </xf>
    <xf numFmtId="0" fontId="38" fillId="11" borderId="13" xfId="0" applyFont="1" applyFill="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3" fontId="40" fillId="8" borderId="14" xfId="0" applyNumberFormat="1" applyFont="1" applyFill="1" applyBorder="1" applyAlignment="1" applyProtection="1">
      <alignment horizontal="center" vertical="center"/>
      <protection locked="0"/>
    </xf>
    <xf numFmtId="3" fontId="40" fillId="8" borderId="12" xfId="0" applyNumberFormat="1" applyFont="1" applyFill="1" applyBorder="1" applyAlignment="1" applyProtection="1">
      <alignment horizontal="center" vertical="center"/>
      <protection locked="0"/>
    </xf>
    <xf numFmtId="3" fontId="40" fillId="8" borderId="13" xfId="0" applyNumberFormat="1" applyFont="1" applyFill="1" applyBorder="1" applyAlignment="1" applyProtection="1">
      <alignment horizontal="center" vertical="center"/>
      <protection locked="0"/>
    </xf>
    <xf numFmtId="0" fontId="11" fillId="0" borderId="1" xfId="0" applyFont="1" applyBorder="1" applyAlignment="1">
      <alignment horizontal="center" vertical="center" wrapText="1"/>
    </xf>
    <xf numFmtId="9" fontId="4" fillId="3" borderId="12" xfId="4" applyFont="1" applyFill="1" applyBorder="1" applyAlignment="1" applyProtection="1">
      <alignment horizontal="center" vertical="center"/>
      <protection locked="0"/>
    </xf>
    <xf numFmtId="9" fontId="4" fillId="3" borderId="13" xfId="4" applyFont="1" applyFill="1" applyBorder="1" applyAlignment="1" applyProtection="1">
      <alignment horizontal="center" vertical="center"/>
      <protection locked="0"/>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9" fontId="4" fillId="3" borderId="14" xfId="4" applyFont="1" applyFill="1" applyBorder="1" applyAlignment="1" applyProtection="1">
      <alignment horizontal="center" vertical="center"/>
      <protection locked="0"/>
    </xf>
    <xf numFmtId="164" fontId="4" fillId="7" borderId="9" xfId="4" applyNumberFormat="1" applyFont="1" applyFill="1" applyBorder="1" applyAlignment="1">
      <alignment horizontal="center" vertical="center" wrapText="1"/>
    </xf>
    <xf numFmtId="164" fontId="4" fillId="7" borderId="4" xfId="4" applyNumberFormat="1" applyFont="1" applyFill="1" applyBorder="1" applyAlignment="1">
      <alignment horizontal="center" vertical="center" wrapText="1"/>
    </xf>
    <xf numFmtId="164" fontId="4" fillId="7" borderId="11" xfId="4" applyNumberFormat="1" applyFont="1" applyFill="1" applyBorder="1" applyAlignment="1">
      <alignment horizontal="center" vertical="center" wrapText="1"/>
    </xf>
    <xf numFmtId="164" fontId="4" fillId="7" borderId="15" xfId="4" applyNumberFormat="1" applyFont="1" applyFill="1" applyBorder="1" applyAlignment="1">
      <alignment horizontal="center" vertical="center" wrapText="1"/>
    </xf>
    <xf numFmtId="14" fontId="4" fillId="8" borderId="2" xfId="0" applyNumberFormat="1" applyFont="1" applyFill="1" applyBorder="1" applyAlignment="1" applyProtection="1">
      <alignment horizontal="left" wrapText="1"/>
      <protection locked="0"/>
    </xf>
    <xf numFmtId="14" fontId="4" fillId="8" borderId="6" xfId="0" applyNumberFormat="1" applyFont="1" applyFill="1" applyBorder="1" applyAlignment="1" applyProtection="1">
      <alignment horizontal="left" wrapText="1"/>
      <protection locked="0"/>
    </xf>
    <xf numFmtId="9" fontId="4" fillId="3" borderId="9" xfId="4" applyFont="1" applyFill="1" applyBorder="1" applyAlignment="1" applyProtection="1">
      <alignment horizontal="center" vertical="center" wrapText="1"/>
      <protection locked="0"/>
    </xf>
    <xf numFmtId="9" fontId="4" fillId="3" borderId="10" xfId="4" applyFont="1" applyFill="1" applyBorder="1" applyAlignment="1" applyProtection="1">
      <alignment horizontal="center" vertical="center" wrapText="1"/>
      <protection locked="0"/>
    </xf>
    <xf numFmtId="9" fontId="4" fillId="3" borderId="4" xfId="4" applyFont="1" applyFill="1" applyBorder="1" applyAlignment="1" applyProtection="1">
      <alignment horizontal="center" vertical="center" wrapText="1"/>
      <protection locked="0"/>
    </xf>
    <xf numFmtId="9" fontId="4" fillId="3" borderId="11" xfId="4" applyFont="1" applyFill="1" applyBorder="1" applyAlignment="1" applyProtection="1">
      <alignment horizontal="center" vertical="center" wrapText="1"/>
      <protection locked="0"/>
    </xf>
    <xf numFmtId="9" fontId="4" fillId="3" borderId="7" xfId="4" applyFont="1" applyFill="1" applyBorder="1" applyAlignment="1" applyProtection="1">
      <alignment horizontal="center" vertical="center" wrapText="1"/>
      <protection locked="0"/>
    </xf>
    <xf numFmtId="9" fontId="4" fillId="3" borderId="15" xfId="4" applyFont="1" applyFill="1" applyBorder="1" applyAlignment="1" applyProtection="1">
      <alignment horizontal="center" vertical="center" wrapText="1"/>
      <protection locked="0"/>
    </xf>
    <xf numFmtId="0" fontId="4" fillId="0" borderId="14" xfId="0" applyFont="1" applyBorder="1" applyAlignment="1">
      <alignment horizontal="left" vertical="center" wrapText="1"/>
    </xf>
    <xf numFmtId="167" fontId="20" fillId="0" borderId="0" xfId="0" applyNumberFormat="1" applyFont="1" applyAlignment="1">
      <alignment horizontal="left" vertical="center"/>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3" fontId="4" fillId="3" borderId="14" xfId="0" applyNumberFormat="1" applyFont="1" applyFill="1" applyBorder="1" applyAlignment="1" applyProtection="1">
      <alignment horizontal="center" vertical="center" wrapText="1"/>
      <protection locked="0"/>
    </xf>
    <xf numFmtId="3" fontId="4" fillId="3" borderId="12" xfId="0" applyNumberFormat="1" applyFont="1" applyFill="1" applyBorder="1" applyAlignment="1" applyProtection="1">
      <alignment horizontal="center" vertical="center" wrapText="1"/>
      <protection locked="0"/>
    </xf>
    <xf numFmtId="3" fontId="4" fillId="3" borderId="13" xfId="0" applyNumberFormat="1" applyFont="1" applyFill="1" applyBorder="1" applyAlignment="1" applyProtection="1">
      <alignment horizontal="center" vertical="center" wrapText="1"/>
      <protection locked="0"/>
    </xf>
    <xf numFmtId="14" fontId="4" fillId="3" borderId="9" xfId="0" applyNumberFormat="1" applyFont="1" applyFill="1" applyBorder="1" applyAlignment="1" applyProtection="1">
      <alignment horizontal="center" vertical="center" wrapText="1"/>
      <protection locked="0"/>
    </xf>
    <xf numFmtId="14" fontId="4" fillId="3" borderId="10" xfId="0" applyNumberFormat="1" applyFont="1" applyFill="1" applyBorder="1" applyAlignment="1" applyProtection="1">
      <alignment horizontal="center" vertical="center" wrapText="1"/>
      <protection locked="0"/>
    </xf>
    <xf numFmtId="14" fontId="4" fillId="3" borderId="4" xfId="0" applyNumberFormat="1" applyFont="1" applyFill="1" applyBorder="1" applyAlignment="1" applyProtection="1">
      <alignment horizontal="center" vertical="center" wrapText="1"/>
      <protection locked="0"/>
    </xf>
    <xf numFmtId="14" fontId="4" fillId="3" borderId="8" xfId="0" applyNumberFormat="1" applyFont="1" applyFill="1" applyBorder="1" applyAlignment="1" applyProtection="1">
      <alignment horizontal="center" vertical="center" wrapText="1"/>
      <protection locked="0"/>
    </xf>
    <xf numFmtId="14" fontId="4" fillId="3" borderId="0" xfId="0" applyNumberFormat="1" applyFont="1" applyFill="1" applyBorder="1" applyAlignment="1" applyProtection="1">
      <alignment horizontal="center" vertical="center" wrapText="1"/>
      <protection locked="0"/>
    </xf>
    <xf numFmtId="14" fontId="4" fillId="3" borderId="5" xfId="0" applyNumberFormat="1" applyFont="1" applyFill="1" applyBorder="1" applyAlignment="1" applyProtection="1">
      <alignment horizontal="center" vertical="center" wrapText="1"/>
      <protection locked="0"/>
    </xf>
    <xf numFmtId="14" fontId="4" fillId="3" borderId="11" xfId="0" applyNumberFormat="1" applyFont="1" applyFill="1" applyBorder="1" applyAlignment="1" applyProtection="1">
      <alignment horizontal="center" vertical="center" wrapText="1"/>
      <protection locked="0"/>
    </xf>
    <xf numFmtId="14" fontId="4" fillId="3" borderId="7" xfId="0" applyNumberFormat="1" applyFont="1" applyFill="1" applyBorder="1" applyAlignment="1" applyProtection="1">
      <alignment horizontal="center" vertical="center" wrapText="1"/>
      <protection locked="0"/>
    </xf>
    <xf numFmtId="14" fontId="4" fillId="3" borderId="15" xfId="0" applyNumberFormat="1" applyFont="1" applyFill="1" applyBorder="1" applyAlignment="1" applyProtection="1">
      <alignment horizontal="center" vertical="center" wrapText="1"/>
      <protection locked="0"/>
    </xf>
    <xf numFmtId="14" fontId="4" fillId="8" borderId="3" xfId="0" applyNumberFormat="1" applyFont="1" applyFill="1" applyBorder="1" applyAlignment="1" applyProtection="1">
      <alignment horizontal="left" wrapText="1"/>
      <protection locked="0"/>
    </xf>
    <xf numFmtId="0" fontId="11" fillId="0" borderId="14" xfId="0" applyFont="1" applyBorder="1" applyAlignment="1">
      <alignment horizontal="left" vertical="center" wrapText="1"/>
    </xf>
    <xf numFmtId="0" fontId="11" fillId="0" borderId="12" xfId="0" applyFont="1" applyBorder="1" applyAlignment="1">
      <alignment horizontal="left" vertical="center" wrapText="1"/>
    </xf>
    <xf numFmtId="0" fontId="38" fillId="11" borderId="14" xfId="0" applyFont="1" applyFill="1" applyBorder="1" applyAlignment="1">
      <alignment horizontal="center" vertical="center"/>
    </xf>
    <xf numFmtId="0" fontId="38" fillId="11" borderId="13" xfId="0" applyFont="1" applyFill="1" applyBorder="1" applyAlignment="1">
      <alignment horizontal="center" vertical="center"/>
    </xf>
    <xf numFmtId="0" fontId="38" fillId="11" borderId="14" xfId="0" applyFont="1" applyFill="1" applyBorder="1" applyAlignment="1" applyProtection="1">
      <alignment horizontal="center" vertical="center" wrapText="1"/>
      <protection locked="0"/>
    </xf>
    <xf numFmtId="0" fontId="38" fillId="11" borderId="12" xfId="0" applyFont="1" applyFill="1" applyBorder="1" applyAlignment="1" applyProtection="1">
      <alignment horizontal="center" vertical="center" wrapText="1"/>
      <protection locked="0"/>
    </xf>
    <xf numFmtId="0" fontId="38" fillId="11" borderId="13" xfId="0" applyFont="1" applyFill="1" applyBorder="1" applyAlignment="1" applyProtection="1">
      <alignment horizontal="center" vertical="center" wrapText="1"/>
      <protection locked="0"/>
    </xf>
    <xf numFmtId="14" fontId="4" fillId="3" borderId="14" xfId="0" applyNumberFormat="1" applyFont="1" applyFill="1" applyBorder="1" applyAlignment="1" applyProtection="1">
      <alignment horizontal="center" vertical="center"/>
      <protection locked="0"/>
    </xf>
    <xf numFmtId="14" fontId="4" fillId="3" borderId="12" xfId="0" applyNumberFormat="1" applyFont="1" applyFill="1" applyBorder="1" applyAlignment="1" applyProtection="1">
      <alignment horizontal="center" vertical="center"/>
      <protection locked="0"/>
    </xf>
    <xf numFmtId="14" fontId="4" fillId="3" borderId="13" xfId="0" applyNumberFormat="1" applyFont="1" applyFill="1" applyBorder="1" applyAlignment="1" applyProtection="1">
      <alignment horizontal="center" vertical="center"/>
      <protection locked="0"/>
    </xf>
    <xf numFmtId="0" fontId="27" fillId="4" borderId="2"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1"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7" xfId="0" applyFont="1" applyFill="1" applyBorder="1" applyAlignment="1">
      <alignment horizontal="center" vertical="center"/>
    </xf>
    <xf numFmtId="0" fontId="27" fillId="4" borderId="10" xfId="0" applyFont="1" applyFill="1" applyBorder="1" applyAlignment="1">
      <alignment horizontal="center" vertical="center"/>
    </xf>
    <xf numFmtId="0" fontId="27" fillId="4" borderId="14" xfId="0" applyFont="1" applyFill="1" applyBorder="1" applyAlignment="1">
      <alignment horizontal="center" vertical="center"/>
    </xf>
    <xf numFmtId="0" fontId="27" fillId="4" borderId="12" xfId="0" applyFont="1" applyFill="1" applyBorder="1" applyAlignment="1">
      <alignment horizontal="center" vertical="center"/>
    </xf>
    <xf numFmtId="0" fontId="27" fillId="4" borderId="13" xfId="0" applyFont="1" applyFill="1" applyBorder="1" applyAlignment="1">
      <alignment horizontal="center" vertical="center"/>
    </xf>
    <xf numFmtId="0" fontId="3" fillId="0" borderId="1" xfId="0" applyFont="1" applyFill="1" applyBorder="1" applyAlignment="1">
      <alignment horizontal="center" vertical="center" textRotation="90"/>
    </xf>
    <xf numFmtId="0" fontId="3" fillId="2" borderId="1" xfId="0" applyFont="1" applyFill="1" applyBorder="1" applyAlignment="1">
      <alignment horizontal="center" vertical="center" textRotation="90"/>
    </xf>
    <xf numFmtId="0" fontId="45" fillId="0" borderId="0" xfId="0" applyFont="1" applyFill="1" applyBorder="1" applyAlignment="1">
      <alignment horizontal="center" vertical="center"/>
    </xf>
    <xf numFmtId="0" fontId="10" fillId="4" borderId="14"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3" fillId="2" borderId="1" xfId="0" quotePrefix="1" applyFont="1" applyFill="1" applyBorder="1" applyAlignment="1">
      <alignment horizontal="center" vertical="center" textRotation="90"/>
    </xf>
    <xf numFmtId="0" fontId="7" fillId="5" borderId="1" xfId="0" applyFont="1" applyFill="1" applyBorder="1" applyAlignment="1">
      <alignment horizontal="center" vertical="center" wrapText="1"/>
    </xf>
    <xf numFmtId="0" fontId="3" fillId="0" borderId="1" xfId="0" quotePrefix="1" applyFont="1" applyFill="1" applyBorder="1" applyAlignment="1">
      <alignment horizontal="center" vertical="center" textRotation="90"/>
    </xf>
    <xf numFmtId="0" fontId="7" fillId="5" borderId="9"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5" xfId="0" applyFont="1" applyFill="1" applyBorder="1" applyAlignment="1">
      <alignment horizontal="center" vertical="center"/>
    </xf>
    <xf numFmtId="0" fontId="16" fillId="5" borderId="1" xfId="0" applyFont="1" applyFill="1" applyBorder="1" applyAlignment="1">
      <alignment horizontal="center" vertical="center" wrapText="1"/>
    </xf>
    <xf numFmtId="0" fontId="21" fillId="8" borderId="0" xfId="0" applyFont="1" applyFill="1" applyAlignment="1">
      <alignment horizontal="left" vertical="center"/>
    </xf>
    <xf numFmtId="0" fontId="3" fillId="0" borderId="2" xfId="0" applyFont="1" applyFill="1" applyBorder="1" applyAlignment="1">
      <alignment horizontal="center" vertical="center" textRotation="90"/>
    </xf>
    <xf numFmtId="0" fontId="49" fillId="0" borderId="0" xfId="0" applyFont="1" applyAlignment="1">
      <alignment horizontal="left" vertical="center"/>
    </xf>
    <xf numFmtId="0" fontId="48" fillId="0" borderId="0" xfId="0" applyFont="1" applyAlignment="1">
      <alignment horizontal="left"/>
    </xf>
    <xf numFmtId="0" fontId="15" fillId="0" borderId="0" xfId="0" applyFont="1" applyAlignment="1">
      <alignment horizontal="center"/>
    </xf>
    <xf numFmtId="0" fontId="32" fillId="4" borderId="16" xfId="0" applyFont="1" applyFill="1" applyBorder="1" applyAlignment="1">
      <alignment horizontal="center" vertical="center"/>
    </xf>
    <xf numFmtId="0" fontId="32" fillId="4" borderId="17" xfId="0" applyFont="1" applyFill="1" applyBorder="1" applyAlignment="1">
      <alignment horizontal="center" vertical="center"/>
    </xf>
    <xf numFmtId="0" fontId="32" fillId="4" borderId="18" xfId="0" applyFont="1" applyFill="1" applyBorder="1" applyAlignment="1">
      <alignment horizontal="center" vertical="center"/>
    </xf>
    <xf numFmtId="0" fontId="32" fillId="4" borderId="21" xfId="0" applyFont="1" applyFill="1" applyBorder="1" applyAlignment="1">
      <alignment horizontal="center" vertical="center"/>
    </xf>
    <xf numFmtId="0" fontId="32" fillId="4" borderId="22" xfId="0" applyFont="1" applyFill="1" applyBorder="1" applyAlignment="1">
      <alignment horizontal="center" vertical="center"/>
    </xf>
    <xf numFmtId="0" fontId="32" fillId="4" borderId="23" xfId="0" applyFont="1" applyFill="1" applyBorder="1" applyAlignment="1">
      <alignment horizontal="center" vertical="center"/>
    </xf>
    <xf numFmtId="0" fontId="32" fillId="4" borderId="19" xfId="0" applyFont="1" applyFill="1" applyBorder="1" applyAlignment="1">
      <alignment horizontal="center" vertical="center"/>
    </xf>
    <xf numFmtId="0" fontId="32" fillId="4" borderId="0" xfId="0" applyFont="1" applyFill="1" applyBorder="1" applyAlignment="1">
      <alignment horizontal="center" vertical="center"/>
    </xf>
    <xf numFmtId="0" fontId="32" fillId="4" borderId="20" xfId="0" applyFont="1" applyFill="1" applyBorder="1" applyAlignment="1">
      <alignment horizontal="center" vertical="center"/>
    </xf>
    <xf numFmtId="0" fontId="23" fillId="0" borderId="0" xfId="0" applyFont="1" applyAlignment="1">
      <alignment horizontal="right" vertical="top" wrapText="1"/>
    </xf>
    <xf numFmtId="0" fontId="30" fillId="0" borderId="0" xfId="0" applyFont="1" applyAlignment="1">
      <alignment horizontal="center"/>
    </xf>
    <xf numFmtId="0" fontId="46" fillId="8" borderId="0" xfId="0" applyFont="1" applyFill="1" applyBorder="1" applyAlignment="1">
      <alignment horizontal="center" vertical="center"/>
    </xf>
    <xf numFmtId="0" fontId="28" fillId="8" borderId="28" xfId="0" applyFont="1" applyFill="1" applyBorder="1" applyAlignment="1">
      <alignment vertical="top" wrapText="1"/>
    </xf>
    <xf numFmtId="0" fontId="28" fillId="8" borderId="29" xfId="0" applyFont="1" applyFill="1" applyBorder="1" applyAlignment="1">
      <alignment vertical="top" wrapText="1"/>
    </xf>
    <xf numFmtId="0" fontId="6" fillId="0" borderId="19" xfId="0" applyFont="1" applyBorder="1" applyAlignment="1">
      <alignment vertical="top" wrapText="1"/>
    </xf>
    <xf numFmtId="0" fontId="6" fillId="0" borderId="0" xfId="0" applyFont="1" applyBorder="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6" fillId="0" borderId="22" xfId="0" applyFont="1" applyBorder="1" applyAlignment="1">
      <alignment vertical="top" wrapText="1"/>
    </xf>
    <xf numFmtId="0" fontId="6" fillId="0" borderId="23" xfId="0" applyFont="1" applyBorder="1" applyAlignment="1">
      <alignment vertical="top" wrapText="1"/>
    </xf>
    <xf numFmtId="166" fontId="19" fillId="0" borderId="0" xfId="0" applyNumberFormat="1" applyFont="1" applyAlignment="1" applyProtection="1">
      <alignment horizontal="right" vertical="top"/>
      <protection locked="0"/>
    </xf>
    <xf numFmtId="0" fontId="43" fillId="14" borderId="2" xfId="0" applyFont="1" applyFill="1" applyBorder="1" applyAlignment="1">
      <alignment horizontal="center" vertical="center"/>
    </xf>
    <xf numFmtId="0" fontId="44" fillId="14" borderId="3" xfId="0" applyFont="1" applyFill="1" applyBorder="1" applyAlignment="1">
      <alignment horizontal="center" vertical="center"/>
    </xf>
    <xf numFmtId="0" fontId="44" fillId="14" borderId="6" xfId="0" applyFont="1" applyFill="1" applyBorder="1" applyAlignment="1">
      <alignment horizontal="center" vertical="center"/>
    </xf>
    <xf numFmtId="0" fontId="47" fillId="4" borderId="24" xfId="0" applyFont="1" applyFill="1" applyBorder="1" applyAlignment="1">
      <alignment horizontal="center" vertical="center"/>
    </xf>
    <xf numFmtId="0" fontId="47" fillId="4" borderId="25" xfId="0" applyFont="1" applyFill="1" applyBorder="1" applyAlignment="1">
      <alignment horizontal="center" vertical="center"/>
    </xf>
    <xf numFmtId="0" fontId="47" fillId="4" borderId="26" xfId="0" applyFont="1" applyFill="1" applyBorder="1" applyAlignment="1">
      <alignment horizontal="center" vertical="center"/>
    </xf>
  </cellXfs>
  <cellStyles count="19">
    <cellStyle name="Hyperlink 2" xfId="11" xr:uid="{00000000-0005-0000-0000-000000000000}"/>
    <cellStyle name="Hyperlink 3" xfId="15" xr:uid="{00000000-0005-0000-0000-000001000000}"/>
    <cellStyle name="Komma" xfId="3" builtinId="3"/>
    <cellStyle name="Komma 2" xfId="13" xr:uid="{00000000-0005-0000-0000-000003000000}"/>
    <cellStyle name="Link" xfId="5" builtinId="8"/>
    <cellStyle name="Prozent" xfId="4" builtinId="5"/>
    <cellStyle name="Prozent 2" xfId="14" xr:uid="{00000000-0005-0000-0000-000006000000}"/>
    <cellStyle name="Standard" xfId="0" builtinId="0"/>
    <cellStyle name="Standard 2" xfId="8" xr:uid="{00000000-0005-0000-0000-000008000000}"/>
    <cellStyle name="Standard 3" xfId="9" xr:uid="{00000000-0005-0000-0000-000009000000}"/>
    <cellStyle name="Standard 3 2" xfId="17" xr:uid="{00000000-0005-0000-0000-00000A000000}"/>
    <cellStyle name="Standard 3 3" xfId="16" xr:uid="{00000000-0005-0000-0000-00000B000000}"/>
    <cellStyle name="Standard 4" xfId="10" xr:uid="{00000000-0005-0000-0000-00000C000000}"/>
    <cellStyle name="Standard 4 2" xfId="18" xr:uid="{00000000-0005-0000-0000-00000D000000}"/>
    <cellStyle name="Standard 5" xfId="7" xr:uid="{00000000-0005-0000-0000-00000E000000}"/>
    <cellStyle name="Standard 6" xfId="6" xr:uid="{00000000-0005-0000-0000-00000F000000}"/>
    <cellStyle name="ZeQ" xfId="1" xr:uid="{00000000-0005-0000-0000-000010000000}"/>
    <cellStyle name="ZeQ 2" xfId="2" xr:uid="{00000000-0005-0000-0000-000011000000}"/>
    <cellStyle name="ZeQ 2 2" xfId="12" xr:uid="{00000000-0005-0000-0000-000012000000}"/>
  </cellStyles>
  <dxfs count="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border>
        <left/>
        <right/>
        <top/>
        <bottom/>
        <vertical/>
        <horizontal/>
      </border>
    </dxf>
    <dxf>
      <font>
        <color theme="0"/>
      </font>
      <fill>
        <patternFill>
          <bgColor rgb="FFFF0000"/>
        </patternFill>
      </fill>
      <border>
        <left/>
        <right/>
        <top/>
        <bottom/>
        <vertical/>
        <horizontal/>
      </border>
    </dxf>
    <dxf>
      <fill>
        <patternFill>
          <bgColor rgb="FFFF0000"/>
        </patternFill>
      </fill>
      <border>
        <left/>
        <right/>
        <top/>
        <bottom/>
        <vertical/>
        <horizontal/>
      </border>
    </dxf>
    <dxf>
      <fill>
        <patternFill>
          <bgColor rgb="FFFFFF00"/>
        </patternFill>
      </fill>
    </dxf>
    <dxf>
      <fill>
        <patternFill>
          <bgColor rgb="FFFFFF00"/>
        </patternFill>
      </fill>
    </dxf>
    <dxf>
      <fill>
        <patternFill>
          <bgColor theme="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dxf>
    <dxf>
      <fill>
        <patternFill>
          <bgColor theme="6"/>
        </patternFill>
      </fill>
    </dxf>
    <dxf>
      <fill>
        <patternFill>
          <bgColor rgb="FFFFFF00"/>
        </patternFill>
      </fill>
    </dxf>
    <dxf>
      <fill>
        <patternFill>
          <bgColor rgb="FFFF0000"/>
        </patternFill>
      </fill>
      <border>
        <left/>
        <right/>
        <top/>
        <bottom/>
        <vertical/>
        <horizontal/>
      </border>
    </dxf>
    <dxf>
      <font>
        <color theme="0"/>
      </font>
    </dxf>
    <dxf>
      <font>
        <color theme="1"/>
      </font>
      <fill>
        <patternFill>
          <bgColor rgb="FFFFFF00"/>
        </patternFill>
      </fill>
    </dxf>
    <dxf>
      <font>
        <color theme="0"/>
      </font>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ill>
        <patternFill>
          <bgColor rgb="FFFF0000"/>
        </patternFill>
      </fill>
      <border>
        <left/>
        <right/>
        <top/>
        <bottom/>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91A36"/>
      <rgbColor rgb="00008000"/>
      <rgbColor rgb="00000080"/>
      <rgbColor rgb="00808000"/>
      <rgbColor rgb="00800080"/>
      <rgbColor rgb="00008080"/>
      <rgbColor rgb="00C0C0C0"/>
      <rgbColor rgb="00808080"/>
      <rgbColor rgb="00991A36"/>
      <rgbColor rgb="00F5C7D1"/>
      <rgbColor rgb="00FFFF99"/>
      <rgbColor rgb="00288028"/>
      <rgbColor rgb="00CCFFFF"/>
      <rgbColor rgb="00000099"/>
      <rgbColor rgb="009F9FFF"/>
      <rgbColor rgb="00C0C0C0"/>
      <rgbColor rgb="004E0E1C"/>
      <rgbColor rgb="00DA2E53"/>
      <rgbColor rgb="00FFFF47"/>
      <rgbColor rgb="00174917"/>
      <rgbColor rgb="00008D8A"/>
      <rgbColor rgb="0000006C"/>
      <rgbColor rgb="004343FF"/>
      <rgbColor rgb="00757575"/>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FB055"/>
      <color rgb="FF477335"/>
      <color rgb="FFC0DD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t>Neuinfektionen pro Tag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barChart>
        <c:barDir val="col"/>
        <c:grouping val="clustered"/>
        <c:varyColors val="0"/>
        <c:ser>
          <c:idx val="0"/>
          <c:order val="0"/>
          <c:tx>
            <c:v>Pro Tag</c:v>
          </c:tx>
          <c:spPr>
            <a:solidFill>
              <a:srgbClr val="C00000"/>
            </a:solidFill>
            <a:ln>
              <a:noFill/>
            </a:ln>
            <a:effectLst/>
          </c:spPr>
          <c:invertIfNegative val="0"/>
          <c:cat>
            <c:numRef>
              <c:f>Prognoseergebnis!$C$66:$C$135</c:f>
              <c:numCache>
                <c:formatCode>m/d/yyyy</c:formatCode>
                <c:ptCount val="70"/>
                <c:pt idx="0">
                  <c:v>44301</c:v>
                </c:pt>
                <c:pt idx="1">
                  <c:v>44302</c:v>
                </c:pt>
                <c:pt idx="2">
                  <c:v>44303</c:v>
                </c:pt>
                <c:pt idx="3">
                  <c:v>44304</c:v>
                </c:pt>
                <c:pt idx="4">
                  <c:v>44305</c:v>
                </c:pt>
                <c:pt idx="5">
                  <c:v>44306</c:v>
                </c:pt>
                <c:pt idx="6">
                  <c:v>44307</c:v>
                </c:pt>
                <c:pt idx="7">
                  <c:v>44308</c:v>
                </c:pt>
                <c:pt idx="8">
                  <c:v>44309</c:v>
                </c:pt>
                <c:pt idx="9">
                  <c:v>44310</c:v>
                </c:pt>
                <c:pt idx="10">
                  <c:v>44311</c:v>
                </c:pt>
                <c:pt idx="11">
                  <c:v>44312</c:v>
                </c:pt>
                <c:pt idx="12">
                  <c:v>44313</c:v>
                </c:pt>
                <c:pt idx="13">
                  <c:v>44314</c:v>
                </c:pt>
                <c:pt idx="14">
                  <c:v>44315</c:v>
                </c:pt>
                <c:pt idx="15">
                  <c:v>44316</c:v>
                </c:pt>
                <c:pt idx="16">
                  <c:v>44317</c:v>
                </c:pt>
                <c:pt idx="17">
                  <c:v>44318</c:v>
                </c:pt>
                <c:pt idx="18">
                  <c:v>44319</c:v>
                </c:pt>
                <c:pt idx="19">
                  <c:v>44320</c:v>
                </c:pt>
                <c:pt idx="20">
                  <c:v>44321</c:v>
                </c:pt>
                <c:pt idx="21">
                  <c:v>44322</c:v>
                </c:pt>
                <c:pt idx="22">
                  <c:v>44323</c:v>
                </c:pt>
                <c:pt idx="23">
                  <c:v>44324</c:v>
                </c:pt>
                <c:pt idx="24">
                  <c:v>44325</c:v>
                </c:pt>
                <c:pt idx="25">
                  <c:v>44326</c:v>
                </c:pt>
                <c:pt idx="26">
                  <c:v>44327</c:v>
                </c:pt>
                <c:pt idx="27">
                  <c:v>44328</c:v>
                </c:pt>
                <c:pt idx="28">
                  <c:v>44329</c:v>
                </c:pt>
                <c:pt idx="29">
                  <c:v>44330</c:v>
                </c:pt>
                <c:pt idx="30">
                  <c:v>44331</c:v>
                </c:pt>
                <c:pt idx="31">
                  <c:v>44332</c:v>
                </c:pt>
                <c:pt idx="32">
                  <c:v>44333</c:v>
                </c:pt>
                <c:pt idx="33">
                  <c:v>44334</c:v>
                </c:pt>
                <c:pt idx="34">
                  <c:v>44335</c:v>
                </c:pt>
                <c:pt idx="35">
                  <c:v>44336</c:v>
                </c:pt>
                <c:pt idx="36">
                  <c:v>44337</c:v>
                </c:pt>
                <c:pt idx="37">
                  <c:v>44338</c:v>
                </c:pt>
                <c:pt idx="38">
                  <c:v>44339</c:v>
                </c:pt>
                <c:pt idx="39">
                  <c:v>44340</c:v>
                </c:pt>
                <c:pt idx="40">
                  <c:v>44341</c:v>
                </c:pt>
                <c:pt idx="41">
                  <c:v>44342</c:v>
                </c:pt>
                <c:pt idx="42">
                  <c:v>44343</c:v>
                </c:pt>
                <c:pt idx="43">
                  <c:v>44344</c:v>
                </c:pt>
                <c:pt idx="44">
                  <c:v>44345</c:v>
                </c:pt>
                <c:pt idx="45">
                  <c:v>44346</c:v>
                </c:pt>
                <c:pt idx="46">
                  <c:v>44347</c:v>
                </c:pt>
                <c:pt idx="47">
                  <c:v>44348</c:v>
                </c:pt>
                <c:pt idx="48">
                  <c:v>44349</c:v>
                </c:pt>
                <c:pt idx="49">
                  <c:v>44350</c:v>
                </c:pt>
                <c:pt idx="50">
                  <c:v>44351</c:v>
                </c:pt>
                <c:pt idx="51">
                  <c:v>44352</c:v>
                </c:pt>
                <c:pt idx="52">
                  <c:v>44353</c:v>
                </c:pt>
                <c:pt idx="53">
                  <c:v>44354</c:v>
                </c:pt>
                <c:pt idx="54">
                  <c:v>44355</c:v>
                </c:pt>
                <c:pt idx="55">
                  <c:v>44356</c:v>
                </c:pt>
                <c:pt idx="56">
                  <c:v>44357</c:v>
                </c:pt>
                <c:pt idx="57">
                  <c:v>44358</c:v>
                </c:pt>
                <c:pt idx="58">
                  <c:v>44359</c:v>
                </c:pt>
                <c:pt idx="59">
                  <c:v>44360</c:v>
                </c:pt>
                <c:pt idx="60">
                  <c:v>44361</c:v>
                </c:pt>
                <c:pt idx="61">
                  <c:v>44362</c:v>
                </c:pt>
                <c:pt idx="62">
                  <c:v>44363</c:v>
                </c:pt>
                <c:pt idx="63">
                  <c:v>44364</c:v>
                </c:pt>
                <c:pt idx="64">
                  <c:v>44365</c:v>
                </c:pt>
                <c:pt idx="65">
                  <c:v>44366</c:v>
                </c:pt>
                <c:pt idx="66">
                  <c:v>44367</c:v>
                </c:pt>
                <c:pt idx="67">
                  <c:v>44368</c:v>
                </c:pt>
                <c:pt idx="68">
                  <c:v>44369</c:v>
                </c:pt>
                <c:pt idx="69">
                  <c:v>44370</c:v>
                </c:pt>
              </c:numCache>
            </c:numRef>
          </c:cat>
          <c:val>
            <c:numRef>
              <c:f>Prognoseergebnis!$E$66:$E$135</c:f>
              <c:numCache>
                <c:formatCode>\+#,##0;\-#,##0;0</c:formatCode>
                <c:ptCount val="70"/>
                <c:pt idx="0">
                  <c:v>2750.8558623212934</c:v>
                </c:pt>
                <c:pt idx="1">
                  <c:v>2508.0813590407165</c:v>
                </c:pt>
                <c:pt idx="2">
                  <c:v>1673.4861786136416</c:v>
                </c:pt>
                <c:pt idx="3">
                  <c:v>1194.7728279839255</c:v>
                </c:pt>
                <c:pt idx="4">
                  <c:v>2782.0772624529359</c:v>
                </c:pt>
                <c:pt idx="5">
                  <c:v>2557.3875993494148</c:v>
                </c:pt>
                <c:pt idx="6">
                  <c:v>2437.129606866275</c:v>
                </c:pt>
                <c:pt idx="7">
                  <c:v>2890.3155635907483</c:v>
                </c:pt>
                <c:pt idx="8">
                  <c:v>2464.4875663351672</c:v>
                </c:pt>
                <c:pt idx="9">
                  <c:v>1775.4178605995714</c:v>
                </c:pt>
                <c:pt idx="10">
                  <c:v>1343.8824999183698</c:v>
                </c:pt>
                <c:pt idx="11">
                  <c:v>2858.7592571766427</c:v>
                </c:pt>
                <c:pt idx="12">
                  <c:v>3037.7309221897699</c:v>
                </c:pt>
                <c:pt idx="13">
                  <c:v>2903.6472762971821</c:v>
                </c:pt>
                <c:pt idx="14">
                  <c:v>2888.9911646086703</c:v>
                </c:pt>
                <c:pt idx="15">
                  <c:v>2492.3211551734003</c:v>
                </c:pt>
                <c:pt idx="16">
                  <c:v>1902.9503658896203</c:v>
                </c:pt>
                <c:pt idx="17">
                  <c:v>1461.4215887762537</c:v>
                </c:pt>
                <c:pt idx="18">
                  <c:v>3223.5898271636734</c:v>
                </c:pt>
                <c:pt idx="19">
                  <c:v>3376.5841155732787</c:v>
                </c:pt>
                <c:pt idx="20">
                  <c:v>3076.0575684819801</c:v>
                </c:pt>
                <c:pt idx="21">
                  <c:v>3059.6287105487741</c:v>
                </c:pt>
                <c:pt idx="22">
                  <c:v>2717.0988541829897</c:v>
                </c:pt>
                <c:pt idx="23">
                  <c:v>2070.6559187606313</c:v>
                </c:pt>
                <c:pt idx="24">
                  <c:v>1566.5139183745873</c:v>
                </c:pt>
                <c:pt idx="25">
                  <c:v>3492.0309497171243</c:v>
                </c:pt>
                <c:pt idx="26">
                  <c:v>3629.2215840098456</c:v>
                </c:pt>
                <c:pt idx="27">
                  <c:v>3324.7194682835047</c:v>
                </c:pt>
                <c:pt idx="28">
                  <c:v>3361.6184867789261</c:v>
                </c:pt>
                <c:pt idx="29">
                  <c:v>2960.2286965033795</c:v>
                </c:pt>
                <c:pt idx="30">
                  <c:v>2221.8482817479758</c:v>
                </c:pt>
                <c:pt idx="31">
                  <c:v>1678.6628516280066</c:v>
                </c:pt>
                <c:pt idx="32">
                  <c:v>3769.1187509472766</c:v>
                </c:pt>
                <c:pt idx="33">
                  <c:v>3936.2963661215417</c:v>
                </c:pt>
                <c:pt idx="34">
                  <c:v>3619.9425495148366</c:v>
                </c:pt>
                <c:pt idx="35">
                  <c:v>3653.2695676702956</c:v>
                </c:pt>
                <c:pt idx="36">
                  <c:v>3194.1892554406541</c:v>
                </c:pt>
                <c:pt idx="37">
                  <c:v>2397.3567970010808</c:v>
                </c:pt>
                <c:pt idx="38">
                  <c:v>1818.2420210314024</c:v>
                </c:pt>
                <c:pt idx="39">
                  <c:v>4083.2749021027557</c:v>
                </c:pt>
                <c:pt idx="40">
                  <c:v>4263.0535468773187</c:v>
                </c:pt>
                <c:pt idx="41">
                  <c:v>3917.5479387048222</c:v>
                </c:pt>
                <c:pt idx="42">
                  <c:v>3951.9739620186688</c:v>
                </c:pt>
                <c:pt idx="43">
                  <c:v>3459.8998428011319</c:v>
                </c:pt>
                <c:pt idx="44">
                  <c:v>2601.139110786256</c:v>
                </c:pt>
                <c:pt idx="45">
                  <c:v>1971.2232544184483</c:v>
                </c:pt>
                <c:pt idx="46">
                  <c:v>4418.0406542152377</c:v>
                </c:pt>
                <c:pt idx="47">
                  <c:v>4611.8373060386148</c:v>
                </c:pt>
                <c:pt idx="48">
                  <c:v>4241.5789201739308</c:v>
                </c:pt>
                <c:pt idx="49">
                  <c:v>4283.279313692934</c:v>
                </c:pt>
                <c:pt idx="50">
                  <c:v>3752.649987904103</c:v>
                </c:pt>
                <c:pt idx="51">
                  <c:v>2819.790443084637</c:v>
                </c:pt>
                <c:pt idx="52">
                  <c:v>2135.1368663662552</c:v>
                </c:pt>
                <c:pt idx="53">
                  <c:v>4785.4604139228304</c:v>
                </c:pt>
                <c:pt idx="54">
                  <c:v>4998.0119151861545</c:v>
                </c:pt>
                <c:pt idx="55">
                  <c:v>4598.1200864331668</c:v>
                </c:pt>
                <c:pt idx="56">
                  <c:v>4643.266496757703</c:v>
                </c:pt>
                <c:pt idx="57">
                  <c:v>4067.6643871495053</c:v>
                </c:pt>
                <c:pt idx="58">
                  <c:v>3056.4028329388266</c:v>
                </c:pt>
                <c:pt idx="59">
                  <c:v>2314.9222824407721</c:v>
                </c:pt>
                <c:pt idx="60">
                  <c:v>5189.9270611579359</c:v>
                </c:pt>
                <c:pt idx="61">
                  <c:v>5420.1521420628251</c:v>
                </c:pt>
                <c:pt idx="62">
                  <c:v>4985.6495780991791</c:v>
                </c:pt>
                <c:pt idx="63">
                  <c:v>5034.5607951030897</c:v>
                </c:pt>
                <c:pt idx="64">
                  <c:v>4411.2350802795154</c:v>
                </c:pt>
                <c:pt idx="65">
                  <c:v>3315.3742578818392</c:v>
                </c:pt>
                <c:pt idx="66">
                  <c:v>2511.4530007122703</c:v>
                </c:pt>
                <c:pt idx="67">
                  <c:v>5630.4500516959806</c:v>
                </c:pt>
                <c:pt idx="68">
                  <c:v>5879.8604498799923</c:v>
                </c:pt>
                <c:pt idx="69">
                  <c:v>5408.8245830433707</c:v>
                </c:pt>
              </c:numCache>
            </c:numRef>
          </c:val>
          <c:extLst>
            <c:ext xmlns:c16="http://schemas.microsoft.com/office/drawing/2014/chart" uri="{C3380CC4-5D6E-409C-BE32-E72D297353CC}">
              <c16:uniqueId val="{00000002-BCA2-44FF-8637-9FF295A86090}"/>
            </c:ext>
          </c:extLst>
        </c:ser>
        <c:dLbls>
          <c:showLegendKey val="0"/>
          <c:showVal val="0"/>
          <c:showCatName val="0"/>
          <c:showSerName val="0"/>
          <c:showPercent val="0"/>
          <c:showBubbleSize val="0"/>
        </c:dLbls>
        <c:gapWidth val="219"/>
        <c:overlap val="-27"/>
        <c:axId val="349229824"/>
        <c:axId val="349231744"/>
      </c:barChart>
      <c:dateAx>
        <c:axId val="3492298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de-DE"/>
                  <a:t>Zeitverlauf</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49231744"/>
        <c:crosses val="autoZero"/>
        <c:auto val="1"/>
        <c:lblOffset val="100"/>
        <c:baseTimeUnit val="days"/>
      </c:dateAx>
      <c:valAx>
        <c:axId val="349231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de-DE"/>
                  <a:t>Fälle pro Tag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49229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a:t>Bedarf an Betten</a:t>
            </a:r>
            <a:r>
              <a:rPr lang="de-DE" baseline="0"/>
              <a:t> und Beatmungsplätzen, </a:t>
            </a:r>
            <a:r>
              <a:rPr lang="de-DE"/>
              <a:t>pro Tag</a:t>
            </a:r>
          </a:p>
        </c:rich>
      </c:tx>
      <c:overlay val="0"/>
      <c:spPr>
        <a:noFill/>
        <a:ln>
          <a:noFill/>
        </a:ln>
        <a:effectLst/>
      </c:spPr>
    </c:title>
    <c:autoTitleDeleted val="0"/>
    <c:plotArea>
      <c:layout/>
      <c:lineChart>
        <c:grouping val="standard"/>
        <c:varyColors val="0"/>
        <c:ser>
          <c:idx val="0"/>
          <c:order val="0"/>
          <c:tx>
            <c:v>Normalstation</c:v>
          </c:tx>
          <c:spPr>
            <a:ln w="28575" cap="rnd">
              <a:solidFill>
                <a:srgbClr val="FF0000"/>
              </a:solidFill>
              <a:round/>
            </a:ln>
            <a:effectLst/>
          </c:spPr>
          <c:marker>
            <c:symbol val="none"/>
          </c:marker>
          <c:cat>
            <c:numRef>
              <c:f>Prognoseergebnis!$C$66:$C$135</c:f>
              <c:numCache>
                <c:formatCode>m/d/yyyy</c:formatCode>
                <c:ptCount val="70"/>
                <c:pt idx="0">
                  <c:v>44301</c:v>
                </c:pt>
                <c:pt idx="1">
                  <c:v>44302</c:v>
                </c:pt>
                <c:pt idx="2">
                  <c:v>44303</c:v>
                </c:pt>
                <c:pt idx="3">
                  <c:v>44304</c:v>
                </c:pt>
                <c:pt idx="4">
                  <c:v>44305</c:v>
                </c:pt>
                <c:pt idx="5">
                  <c:v>44306</c:v>
                </c:pt>
                <c:pt idx="6">
                  <c:v>44307</c:v>
                </c:pt>
                <c:pt idx="7">
                  <c:v>44308</c:v>
                </c:pt>
                <c:pt idx="8">
                  <c:v>44309</c:v>
                </c:pt>
                <c:pt idx="9">
                  <c:v>44310</c:v>
                </c:pt>
                <c:pt idx="10">
                  <c:v>44311</c:v>
                </c:pt>
                <c:pt idx="11">
                  <c:v>44312</c:v>
                </c:pt>
                <c:pt idx="12">
                  <c:v>44313</c:v>
                </c:pt>
                <c:pt idx="13">
                  <c:v>44314</c:v>
                </c:pt>
                <c:pt idx="14">
                  <c:v>44315</c:v>
                </c:pt>
                <c:pt idx="15">
                  <c:v>44316</c:v>
                </c:pt>
                <c:pt idx="16">
                  <c:v>44317</c:v>
                </c:pt>
                <c:pt idx="17">
                  <c:v>44318</c:v>
                </c:pt>
                <c:pt idx="18">
                  <c:v>44319</c:v>
                </c:pt>
                <c:pt idx="19">
                  <c:v>44320</c:v>
                </c:pt>
                <c:pt idx="20">
                  <c:v>44321</c:v>
                </c:pt>
                <c:pt idx="21">
                  <c:v>44322</c:v>
                </c:pt>
                <c:pt idx="22">
                  <c:v>44323</c:v>
                </c:pt>
                <c:pt idx="23">
                  <c:v>44324</c:v>
                </c:pt>
                <c:pt idx="24">
                  <c:v>44325</c:v>
                </c:pt>
                <c:pt idx="25">
                  <c:v>44326</c:v>
                </c:pt>
                <c:pt idx="26">
                  <c:v>44327</c:v>
                </c:pt>
                <c:pt idx="27">
                  <c:v>44328</c:v>
                </c:pt>
                <c:pt idx="28">
                  <c:v>44329</c:v>
                </c:pt>
                <c:pt idx="29">
                  <c:v>44330</c:v>
                </c:pt>
                <c:pt idx="30">
                  <c:v>44331</c:v>
                </c:pt>
                <c:pt idx="31">
                  <c:v>44332</c:v>
                </c:pt>
                <c:pt idx="32">
                  <c:v>44333</c:v>
                </c:pt>
                <c:pt idx="33">
                  <c:v>44334</c:v>
                </c:pt>
                <c:pt idx="34">
                  <c:v>44335</c:v>
                </c:pt>
                <c:pt idx="35">
                  <c:v>44336</c:v>
                </c:pt>
                <c:pt idx="36">
                  <c:v>44337</c:v>
                </c:pt>
                <c:pt idx="37">
                  <c:v>44338</c:v>
                </c:pt>
                <c:pt idx="38">
                  <c:v>44339</c:v>
                </c:pt>
                <c:pt idx="39">
                  <c:v>44340</c:v>
                </c:pt>
                <c:pt idx="40">
                  <c:v>44341</c:v>
                </c:pt>
                <c:pt idx="41">
                  <c:v>44342</c:v>
                </c:pt>
                <c:pt idx="42">
                  <c:v>44343</c:v>
                </c:pt>
                <c:pt idx="43">
                  <c:v>44344</c:v>
                </c:pt>
                <c:pt idx="44">
                  <c:v>44345</c:v>
                </c:pt>
                <c:pt idx="45">
                  <c:v>44346</c:v>
                </c:pt>
                <c:pt idx="46">
                  <c:v>44347</c:v>
                </c:pt>
                <c:pt idx="47">
                  <c:v>44348</c:v>
                </c:pt>
                <c:pt idx="48">
                  <c:v>44349</c:v>
                </c:pt>
                <c:pt idx="49">
                  <c:v>44350</c:v>
                </c:pt>
                <c:pt idx="50">
                  <c:v>44351</c:v>
                </c:pt>
                <c:pt idx="51">
                  <c:v>44352</c:v>
                </c:pt>
                <c:pt idx="52">
                  <c:v>44353</c:v>
                </c:pt>
                <c:pt idx="53">
                  <c:v>44354</c:v>
                </c:pt>
                <c:pt idx="54">
                  <c:v>44355</c:v>
                </c:pt>
                <c:pt idx="55">
                  <c:v>44356</c:v>
                </c:pt>
                <c:pt idx="56">
                  <c:v>44357</c:v>
                </c:pt>
                <c:pt idx="57">
                  <c:v>44358</c:v>
                </c:pt>
                <c:pt idx="58">
                  <c:v>44359</c:v>
                </c:pt>
                <c:pt idx="59">
                  <c:v>44360</c:v>
                </c:pt>
                <c:pt idx="60">
                  <c:v>44361</c:v>
                </c:pt>
                <c:pt idx="61">
                  <c:v>44362</c:v>
                </c:pt>
                <c:pt idx="62">
                  <c:v>44363</c:v>
                </c:pt>
                <c:pt idx="63">
                  <c:v>44364</c:v>
                </c:pt>
                <c:pt idx="64">
                  <c:v>44365</c:v>
                </c:pt>
                <c:pt idx="65">
                  <c:v>44366</c:v>
                </c:pt>
                <c:pt idx="66">
                  <c:v>44367</c:v>
                </c:pt>
                <c:pt idx="67">
                  <c:v>44368</c:v>
                </c:pt>
                <c:pt idx="68">
                  <c:v>44369</c:v>
                </c:pt>
                <c:pt idx="69">
                  <c:v>44370</c:v>
                </c:pt>
              </c:numCache>
            </c:numRef>
          </c:cat>
          <c:val>
            <c:numRef>
              <c:f>Prognoseergebnis!$H$66:$H$170</c:f>
              <c:numCache>
                <c:formatCode>#,##0</c:formatCode>
                <c:ptCount val="105"/>
                <c:pt idx="0">
                  <c:v>1928</c:v>
                </c:pt>
                <c:pt idx="1">
                  <c:v>1937</c:v>
                </c:pt>
                <c:pt idx="2">
                  <c:v>1922</c:v>
                </c:pt>
                <c:pt idx="3">
                  <c:v>1912</c:v>
                </c:pt>
                <c:pt idx="4">
                  <c:v>1912</c:v>
                </c:pt>
                <c:pt idx="5">
                  <c:v>1946</c:v>
                </c:pt>
                <c:pt idx="6">
                  <c:v>2082</c:v>
                </c:pt>
                <c:pt idx="7">
                  <c:v>2103</c:v>
                </c:pt>
                <c:pt idx="8">
                  <c:v>2108</c:v>
                </c:pt>
                <c:pt idx="9">
                  <c:v>2118</c:v>
                </c:pt>
                <c:pt idx="10">
                  <c:v>2130</c:v>
                </c:pt>
                <c:pt idx="11">
                  <c:v>2135</c:v>
                </c:pt>
                <c:pt idx="12">
                  <c:v>2220</c:v>
                </c:pt>
                <c:pt idx="13">
                  <c:v>2280</c:v>
                </c:pt>
                <c:pt idx="14">
                  <c:v>2267</c:v>
                </c:pt>
                <c:pt idx="15">
                  <c:v>2275</c:v>
                </c:pt>
                <c:pt idx="16">
                  <c:v>2288</c:v>
                </c:pt>
                <c:pt idx="17">
                  <c:v>2296</c:v>
                </c:pt>
                <c:pt idx="18">
                  <c:v>2341</c:v>
                </c:pt>
                <c:pt idx="19">
                  <c:v>2404</c:v>
                </c:pt>
                <c:pt idx="20">
                  <c:v>2425</c:v>
                </c:pt>
                <c:pt idx="21">
                  <c:v>2442</c:v>
                </c:pt>
                <c:pt idx="22">
                  <c:v>2473</c:v>
                </c:pt>
                <c:pt idx="23">
                  <c:v>2492</c:v>
                </c:pt>
                <c:pt idx="24">
                  <c:v>2499</c:v>
                </c:pt>
                <c:pt idx="25">
                  <c:v>2530</c:v>
                </c:pt>
                <c:pt idx="26">
                  <c:v>2581</c:v>
                </c:pt>
                <c:pt idx="27">
                  <c:v>2614</c:v>
                </c:pt>
                <c:pt idx="28">
                  <c:v>2651</c:v>
                </c:pt>
                <c:pt idx="29">
                  <c:v>2683</c:v>
                </c:pt>
                <c:pt idx="30">
                  <c:v>2698</c:v>
                </c:pt>
                <c:pt idx="31">
                  <c:v>2704</c:v>
                </c:pt>
                <c:pt idx="32">
                  <c:v>2736</c:v>
                </c:pt>
                <c:pt idx="33">
                  <c:v>2798</c:v>
                </c:pt>
                <c:pt idx="34">
                  <c:v>2838</c:v>
                </c:pt>
                <c:pt idx="35">
                  <c:v>2872</c:v>
                </c:pt>
                <c:pt idx="36">
                  <c:v>2902</c:v>
                </c:pt>
                <c:pt idx="37">
                  <c:v>2919</c:v>
                </c:pt>
                <c:pt idx="38">
                  <c:v>2929</c:v>
                </c:pt>
                <c:pt idx="39">
                  <c:v>2966</c:v>
                </c:pt>
                <c:pt idx="40">
                  <c:v>3032</c:v>
                </c:pt>
                <c:pt idx="41">
                  <c:v>3072</c:v>
                </c:pt>
                <c:pt idx="42">
                  <c:v>3107</c:v>
                </c:pt>
                <c:pt idx="43">
                  <c:v>3141</c:v>
                </c:pt>
                <c:pt idx="44">
                  <c:v>3162</c:v>
                </c:pt>
                <c:pt idx="45">
                  <c:v>3172</c:v>
                </c:pt>
                <c:pt idx="46">
                  <c:v>3211</c:v>
                </c:pt>
                <c:pt idx="47">
                  <c:v>3282</c:v>
                </c:pt>
                <c:pt idx="48">
                  <c:v>3326</c:v>
                </c:pt>
                <c:pt idx="49">
                  <c:v>3365</c:v>
                </c:pt>
                <c:pt idx="50">
                  <c:v>3403</c:v>
                </c:pt>
                <c:pt idx="51">
                  <c:v>3425</c:v>
                </c:pt>
                <c:pt idx="52">
                  <c:v>3436</c:v>
                </c:pt>
                <c:pt idx="53">
                  <c:v>3479</c:v>
                </c:pt>
                <c:pt idx="54">
                  <c:v>3556</c:v>
                </c:pt>
                <c:pt idx="55">
                  <c:v>3605</c:v>
                </c:pt>
                <c:pt idx="56">
                  <c:v>3647</c:v>
                </c:pt>
                <c:pt idx="57">
                  <c:v>3688</c:v>
                </c:pt>
                <c:pt idx="58">
                  <c:v>3712</c:v>
                </c:pt>
                <c:pt idx="59">
                  <c:v>3724</c:v>
                </c:pt>
                <c:pt idx="60">
                  <c:v>3771</c:v>
                </c:pt>
                <c:pt idx="61">
                  <c:v>3856</c:v>
                </c:pt>
                <c:pt idx="62">
                  <c:v>3908</c:v>
                </c:pt>
                <c:pt idx="63">
                  <c:v>3955</c:v>
                </c:pt>
                <c:pt idx="64">
                  <c:v>3999</c:v>
                </c:pt>
                <c:pt idx="65">
                  <c:v>4025</c:v>
                </c:pt>
                <c:pt idx="66">
                  <c:v>4039</c:v>
                </c:pt>
                <c:pt idx="67">
                  <c:v>4090</c:v>
                </c:pt>
                <c:pt idx="68">
                  <c:v>4182</c:v>
                </c:pt>
                <c:pt idx="69">
                  <c:v>4239</c:v>
                </c:pt>
                <c:pt idx="70">
                  <c:v>4290</c:v>
                </c:pt>
                <c:pt idx="71">
                  <c:v>4339</c:v>
                </c:pt>
                <c:pt idx="72">
                  <c:v>4368</c:v>
                </c:pt>
                <c:pt idx="73">
                  <c:v>4383</c:v>
                </c:pt>
                <c:pt idx="74">
                  <c:v>4439</c:v>
                </c:pt>
                <c:pt idx="75">
                  <c:v>4539</c:v>
                </c:pt>
                <c:pt idx="76">
                  <c:v>4601</c:v>
                </c:pt>
                <c:pt idx="77">
                  <c:v>3827</c:v>
                </c:pt>
                <c:pt idx="78">
                  <c:v>3152</c:v>
                </c:pt>
                <c:pt idx="79">
                  <c:v>2637</c:v>
                </c:pt>
                <c:pt idx="80">
                  <c:v>2239</c:v>
                </c:pt>
                <c:pt idx="81">
                  <c:v>1371</c:v>
                </c:pt>
                <c:pt idx="82">
                  <c:v>510</c:v>
                </c:pt>
                <c:pt idx="83">
                  <c:v>-315</c:v>
                </c:pt>
                <c:pt idx="84">
                  <c:v>-326</c:v>
                </c:pt>
                <c:pt idx="85">
                  <c:v>-330</c:v>
                </c:pt>
                <c:pt idx="86">
                  <c:v>-277</c:v>
                </c:pt>
                <c:pt idx="87">
                  <c:v>-236</c:v>
                </c:pt>
                <c:pt idx="88">
                  <c:v>-206</c:v>
                </c:pt>
                <c:pt idx="89">
                  <c:v>-137</c:v>
                </c:pt>
                <c:pt idx="90">
                  <c:v>-66</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numCache>
            </c:numRef>
          </c:val>
          <c:smooth val="0"/>
          <c:extLst>
            <c:ext xmlns:c16="http://schemas.microsoft.com/office/drawing/2014/chart" uri="{C3380CC4-5D6E-409C-BE32-E72D297353CC}">
              <c16:uniqueId val="{00000000-76FA-44F1-9C97-F076EAE3BB83}"/>
            </c:ext>
          </c:extLst>
        </c:ser>
        <c:ser>
          <c:idx val="1"/>
          <c:order val="1"/>
          <c:tx>
            <c:v>Intensivstation/IMC</c:v>
          </c:tx>
          <c:spPr>
            <a:ln w="28575" cap="rnd">
              <a:solidFill>
                <a:srgbClr val="C00000"/>
              </a:solidFill>
              <a:round/>
            </a:ln>
            <a:effectLst/>
          </c:spPr>
          <c:marker>
            <c:symbol val="none"/>
          </c:marker>
          <c:cat>
            <c:numRef>
              <c:f>Prognoseergebnis!$C$66:$C$135</c:f>
              <c:numCache>
                <c:formatCode>m/d/yyyy</c:formatCode>
                <c:ptCount val="70"/>
                <c:pt idx="0">
                  <c:v>44301</c:v>
                </c:pt>
                <c:pt idx="1">
                  <c:v>44302</c:v>
                </c:pt>
                <c:pt idx="2">
                  <c:v>44303</c:v>
                </c:pt>
                <c:pt idx="3">
                  <c:v>44304</c:v>
                </c:pt>
                <c:pt idx="4">
                  <c:v>44305</c:v>
                </c:pt>
                <c:pt idx="5">
                  <c:v>44306</c:v>
                </c:pt>
                <c:pt idx="6">
                  <c:v>44307</c:v>
                </c:pt>
                <c:pt idx="7">
                  <c:v>44308</c:v>
                </c:pt>
                <c:pt idx="8">
                  <c:v>44309</c:v>
                </c:pt>
                <c:pt idx="9">
                  <c:v>44310</c:v>
                </c:pt>
                <c:pt idx="10">
                  <c:v>44311</c:v>
                </c:pt>
                <c:pt idx="11">
                  <c:v>44312</c:v>
                </c:pt>
                <c:pt idx="12">
                  <c:v>44313</c:v>
                </c:pt>
                <c:pt idx="13">
                  <c:v>44314</c:v>
                </c:pt>
                <c:pt idx="14">
                  <c:v>44315</c:v>
                </c:pt>
                <c:pt idx="15">
                  <c:v>44316</c:v>
                </c:pt>
                <c:pt idx="16">
                  <c:v>44317</c:v>
                </c:pt>
                <c:pt idx="17">
                  <c:v>44318</c:v>
                </c:pt>
                <c:pt idx="18">
                  <c:v>44319</c:v>
                </c:pt>
                <c:pt idx="19">
                  <c:v>44320</c:v>
                </c:pt>
                <c:pt idx="20">
                  <c:v>44321</c:v>
                </c:pt>
                <c:pt idx="21">
                  <c:v>44322</c:v>
                </c:pt>
                <c:pt idx="22">
                  <c:v>44323</c:v>
                </c:pt>
                <c:pt idx="23">
                  <c:v>44324</c:v>
                </c:pt>
                <c:pt idx="24">
                  <c:v>44325</c:v>
                </c:pt>
                <c:pt idx="25">
                  <c:v>44326</c:v>
                </c:pt>
                <c:pt idx="26">
                  <c:v>44327</c:v>
                </c:pt>
                <c:pt idx="27">
                  <c:v>44328</c:v>
                </c:pt>
                <c:pt idx="28">
                  <c:v>44329</c:v>
                </c:pt>
                <c:pt idx="29">
                  <c:v>44330</c:v>
                </c:pt>
                <c:pt idx="30">
                  <c:v>44331</c:v>
                </c:pt>
                <c:pt idx="31">
                  <c:v>44332</c:v>
                </c:pt>
                <c:pt idx="32">
                  <c:v>44333</c:v>
                </c:pt>
                <c:pt idx="33">
                  <c:v>44334</c:v>
                </c:pt>
                <c:pt idx="34">
                  <c:v>44335</c:v>
                </c:pt>
                <c:pt idx="35">
                  <c:v>44336</c:v>
                </c:pt>
                <c:pt idx="36">
                  <c:v>44337</c:v>
                </c:pt>
                <c:pt idx="37">
                  <c:v>44338</c:v>
                </c:pt>
                <c:pt idx="38">
                  <c:v>44339</c:v>
                </c:pt>
                <c:pt idx="39">
                  <c:v>44340</c:v>
                </c:pt>
                <c:pt idx="40">
                  <c:v>44341</c:v>
                </c:pt>
                <c:pt idx="41">
                  <c:v>44342</c:v>
                </c:pt>
                <c:pt idx="42">
                  <c:v>44343</c:v>
                </c:pt>
                <c:pt idx="43">
                  <c:v>44344</c:v>
                </c:pt>
                <c:pt idx="44">
                  <c:v>44345</c:v>
                </c:pt>
                <c:pt idx="45">
                  <c:v>44346</c:v>
                </c:pt>
                <c:pt idx="46">
                  <c:v>44347</c:v>
                </c:pt>
                <c:pt idx="47">
                  <c:v>44348</c:v>
                </c:pt>
                <c:pt idx="48">
                  <c:v>44349</c:v>
                </c:pt>
                <c:pt idx="49">
                  <c:v>44350</c:v>
                </c:pt>
                <c:pt idx="50">
                  <c:v>44351</c:v>
                </c:pt>
                <c:pt idx="51">
                  <c:v>44352</c:v>
                </c:pt>
                <c:pt idx="52">
                  <c:v>44353</c:v>
                </c:pt>
                <c:pt idx="53">
                  <c:v>44354</c:v>
                </c:pt>
                <c:pt idx="54">
                  <c:v>44355</c:v>
                </c:pt>
                <c:pt idx="55">
                  <c:v>44356</c:v>
                </c:pt>
                <c:pt idx="56">
                  <c:v>44357</c:v>
                </c:pt>
                <c:pt idx="57">
                  <c:v>44358</c:v>
                </c:pt>
                <c:pt idx="58">
                  <c:v>44359</c:v>
                </c:pt>
                <c:pt idx="59">
                  <c:v>44360</c:v>
                </c:pt>
                <c:pt idx="60">
                  <c:v>44361</c:v>
                </c:pt>
                <c:pt idx="61">
                  <c:v>44362</c:v>
                </c:pt>
                <c:pt idx="62">
                  <c:v>44363</c:v>
                </c:pt>
                <c:pt idx="63">
                  <c:v>44364</c:v>
                </c:pt>
                <c:pt idx="64">
                  <c:v>44365</c:v>
                </c:pt>
                <c:pt idx="65">
                  <c:v>44366</c:v>
                </c:pt>
                <c:pt idx="66">
                  <c:v>44367</c:v>
                </c:pt>
                <c:pt idx="67">
                  <c:v>44368</c:v>
                </c:pt>
                <c:pt idx="68">
                  <c:v>44369</c:v>
                </c:pt>
                <c:pt idx="69">
                  <c:v>44370</c:v>
                </c:pt>
              </c:numCache>
            </c:numRef>
          </c:cat>
          <c:val>
            <c:numRef>
              <c:f>Prognoseergebnis!$I$66:$I$170</c:f>
              <c:numCache>
                <c:formatCode>#,##0</c:formatCode>
                <c:ptCount val="105"/>
                <c:pt idx="0">
                  <c:v>324</c:v>
                </c:pt>
                <c:pt idx="1">
                  <c:v>330</c:v>
                </c:pt>
                <c:pt idx="2">
                  <c:v>335</c:v>
                </c:pt>
                <c:pt idx="3">
                  <c:v>333</c:v>
                </c:pt>
                <c:pt idx="4">
                  <c:v>353</c:v>
                </c:pt>
                <c:pt idx="5">
                  <c:v>367</c:v>
                </c:pt>
                <c:pt idx="6">
                  <c:v>365</c:v>
                </c:pt>
                <c:pt idx="7">
                  <c:v>370</c:v>
                </c:pt>
                <c:pt idx="8">
                  <c:v>370</c:v>
                </c:pt>
                <c:pt idx="9">
                  <c:v>363</c:v>
                </c:pt>
                <c:pt idx="10">
                  <c:v>359</c:v>
                </c:pt>
                <c:pt idx="11">
                  <c:v>378</c:v>
                </c:pt>
                <c:pt idx="12">
                  <c:v>381</c:v>
                </c:pt>
                <c:pt idx="13">
                  <c:v>388</c:v>
                </c:pt>
                <c:pt idx="14">
                  <c:v>404</c:v>
                </c:pt>
                <c:pt idx="15">
                  <c:v>401</c:v>
                </c:pt>
                <c:pt idx="16">
                  <c:v>394</c:v>
                </c:pt>
                <c:pt idx="17">
                  <c:v>392</c:v>
                </c:pt>
                <c:pt idx="18">
                  <c:v>415</c:v>
                </c:pt>
                <c:pt idx="19">
                  <c:v>421</c:v>
                </c:pt>
                <c:pt idx="20">
                  <c:v>427</c:v>
                </c:pt>
                <c:pt idx="21">
                  <c:v>434</c:v>
                </c:pt>
                <c:pt idx="22">
                  <c:v>432</c:v>
                </c:pt>
                <c:pt idx="23">
                  <c:v>428</c:v>
                </c:pt>
                <c:pt idx="24">
                  <c:v>425</c:v>
                </c:pt>
                <c:pt idx="25">
                  <c:v>449</c:v>
                </c:pt>
                <c:pt idx="26">
                  <c:v>458</c:v>
                </c:pt>
                <c:pt idx="27">
                  <c:v>461</c:v>
                </c:pt>
                <c:pt idx="28">
                  <c:v>466</c:v>
                </c:pt>
                <c:pt idx="29">
                  <c:v>467</c:v>
                </c:pt>
                <c:pt idx="30">
                  <c:v>464</c:v>
                </c:pt>
                <c:pt idx="31">
                  <c:v>462</c:v>
                </c:pt>
                <c:pt idx="32">
                  <c:v>488</c:v>
                </c:pt>
                <c:pt idx="33">
                  <c:v>495</c:v>
                </c:pt>
                <c:pt idx="34">
                  <c:v>498</c:v>
                </c:pt>
                <c:pt idx="35">
                  <c:v>505</c:v>
                </c:pt>
                <c:pt idx="36">
                  <c:v>506</c:v>
                </c:pt>
                <c:pt idx="37">
                  <c:v>503</c:v>
                </c:pt>
                <c:pt idx="38">
                  <c:v>500</c:v>
                </c:pt>
                <c:pt idx="39">
                  <c:v>528</c:v>
                </c:pt>
                <c:pt idx="40">
                  <c:v>537</c:v>
                </c:pt>
                <c:pt idx="41">
                  <c:v>540</c:v>
                </c:pt>
                <c:pt idx="42">
                  <c:v>547</c:v>
                </c:pt>
                <c:pt idx="43">
                  <c:v>548</c:v>
                </c:pt>
                <c:pt idx="44">
                  <c:v>544</c:v>
                </c:pt>
                <c:pt idx="45">
                  <c:v>541</c:v>
                </c:pt>
                <c:pt idx="46">
                  <c:v>572</c:v>
                </c:pt>
                <c:pt idx="47">
                  <c:v>581</c:v>
                </c:pt>
                <c:pt idx="48">
                  <c:v>585</c:v>
                </c:pt>
                <c:pt idx="49">
                  <c:v>592</c:v>
                </c:pt>
                <c:pt idx="50">
                  <c:v>593</c:v>
                </c:pt>
                <c:pt idx="51">
                  <c:v>589</c:v>
                </c:pt>
                <c:pt idx="52">
                  <c:v>586</c:v>
                </c:pt>
                <c:pt idx="53">
                  <c:v>619</c:v>
                </c:pt>
                <c:pt idx="54">
                  <c:v>630</c:v>
                </c:pt>
                <c:pt idx="55">
                  <c:v>633</c:v>
                </c:pt>
                <c:pt idx="56">
                  <c:v>641</c:v>
                </c:pt>
                <c:pt idx="57">
                  <c:v>643</c:v>
                </c:pt>
                <c:pt idx="58">
                  <c:v>638</c:v>
                </c:pt>
                <c:pt idx="59">
                  <c:v>635</c:v>
                </c:pt>
                <c:pt idx="60">
                  <c:v>671</c:v>
                </c:pt>
                <c:pt idx="61">
                  <c:v>682</c:v>
                </c:pt>
                <c:pt idx="62">
                  <c:v>686</c:v>
                </c:pt>
                <c:pt idx="63">
                  <c:v>695</c:v>
                </c:pt>
                <c:pt idx="64">
                  <c:v>697</c:v>
                </c:pt>
                <c:pt idx="65">
                  <c:v>692</c:v>
                </c:pt>
                <c:pt idx="66">
                  <c:v>688</c:v>
                </c:pt>
                <c:pt idx="67">
                  <c:v>728</c:v>
                </c:pt>
                <c:pt idx="68">
                  <c:v>740</c:v>
                </c:pt>
                <c:pt idx="69">
                  <c:v>744</c:v>
                </c:pt>
                <c:pt idx="70">
                  <c:v>754</c:v>
                </c:pt>
                <c:pt idx="71">
                  <c:v>756</c:v>
                </c:pt>
                <c:pt idx="72">
                  <c:v>750</c:v>
                </c:pt>
                <c:pt idx="73">
                  <c:v>747</c:v>
                </c:pt>
                <c:pt idx="74">
                  <c:v>789</c:v>
                </c:pt>
                <c:pt idx="75">
                  <c:v>803</c:v>
                </c:pt>
                <c:pt idx="76">
                  <c:v>808</c:v>
                </c:pt>
                <c:pt idx="77">
                  <c:v>752</c:v>
                </c:pt>
                <c:pt idx="78">
                  <c:v>695</c:v>
                </c:pt>
                <c:pt idx="79">
                  <c:v>646</c:v>
                </c:pt>
                <c:pt idx="80">
                  <c:v>609</c:v>
                </c:pt>
                <c:pt idx="81">
                  <c:v>581</c:v>
                </c:pt>
                <c:pt idx="82">
                  <c:v>518</c:v>
                </c:pt>
                <c:pt idx="83">
                  <c:v>452</c:v>
                </c:pt>
                <c:pt idx="84">
                  <c:v>391</c:v>
                </c:pt>
                <c:pt idx="85">
                  <c:v>330</c:v>
                </c:pt>
                <c:pt idx="86">
                  <c:v>277</c:v>
                </c:pt>
                <c:pt idx="87">
                  <c:v>236</c:v>
                </c:pt>
                <c:pt idx="88">
                  <c:v>206</c:v>
                </c:pt>
                <c:pt idx="89">
                  <c:v>137</c:v>
                </c:pt>
                <c:pt idx="90">
                  <c:v>66</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numCache>
            </c:numRef>
          </c:val>
          <c:smooth val="0"/>
          <c:extLst>
            <c:ext xmlns:c16="http://schemas.microsoft.com/office/drawing/2014/chart" uri="{C3380CC4-5D6E-409C-BE32-E72D297353CC}">
              <c16:uniqueId val="{00000001-76FA-44F1-9C97-F076EAE3BB83}"/>
            </c:ext>
          </c:extLst>
        </c:ser>
        <c:ser>
          <c:idx val="5"/>
          <c:order val="2"/>
          <c:tx>
            <c:strRef>
              <c:f>Prognoseergebnis!$J$8</c:f>
              <c:strCache>
                <c:ptCount val="1"/>
                <c:pt idx="0">
                  <c:v>Bedarf Beatmungsplätze</c:v>
                </c:pt>
              </c:strCache>
            </c:strRef>
          </c:tx>
          <c:spPr>
            <a:ln w="28575" cap="rnd">
              <a:solidFill>
                <a:schemeClr val="accent2">
                  <a:lumMod val="50000"/>
                </a:schemeClr>
              </a:solidFill>
              <a:round/>
            </a:ln>
            <a:effectLst/>
          </c:spPr>
          <c:marker>
            <c:symbol val="none"/>
          </c:marker>
          <c:cat>
            <c:numRef>
              <c:f>Prognoseergebnis!$C$66:$C$135</c:f>
              <c:numCache>
                <c:formatCode>m/d/yyyy</c:formatCode>
                <c:ptCount val="70"/>
                <c:pt idx="0">
                  <c:v>44301</c:v>
                </c:pt>
                <c:pt idx="1">
                  <c:v>44302</c:v>
                </c:pt>
                <c:pt idx="2">
                  <c:v>44303</c:v>
                </c:pt>
                <c:pt idx="3">
                  <c:v>44304</c:v>
                </c:pt>
                <c:pt idx="4">
                  <c:v>44305</c:v>
                </c:pt>
                <c:pt idx="5">
                  <c:v>44306</c:v>
                </c:pt>
                <c:pt idx="6">
                  <c:v>44307</c:v>
                </c:pt>
                <c:pt idx="7">
                  <c:v>44308</c:v>
                </c:pt>
                <c:pt idx="8">
                  <c:v>44309</c:v>
                </c:pt>
                <c:pt idx="9">
                  <c:v>44310</c:v>
                </c:pt>
                <c:pt idx="10">
                  <c:v>44311</c:v>
                </c:pt>
                <c:pt idx="11">
                  <c:v>44312</c:v>
                </c:pt>
                <c:pt idx="12">
                  <c:v>44313</c:v>
                </c:pt>
                <c:pt idx="13">
                  <c:v>44314</c:v>
                </c:pt>
                <c:pt idx="14">
                  <c:v>44315</c:v>
                </c:pt>
                <c:pt idx="15">
                  <c:v>44316</c:v>
                </c:pt>
                <c:pt idx="16">
                  <c:v>44317</c:v>
                </c:pt>
                <c:pt idx="17">
                  <c:v>44318</c:v>
                </c:pt>
                <c:pt idx="18">
                  <c:v>44319</c:v>
                </c:pt>
                <c:pt idx="19">
                  <c:v>44320</c:v>
                </c:pt>
                <c:pt idx="20">
                  <c:v>44321</c:v>
                </c:pt>
                <c:pt idx="21">
                  <c:v>44322</c:v>
                </c:pt>
                <c:pt idx="22">
                  <c:v>44323</c:v>
                </c:pt>
                <c:pt idx="23">
                  <c:v>44324</c:v>
                </c:pt>
                <c:pt idx="24">
                  <c:v>44325</c:v>
                </c:pt>
                <c:pt idx="25">
                  <c:v>44326</c:v>
                </c:pt>
                <c:pt idx="26">
                  <c:v>44327</c:v>
                </c:pt>
                <c:pt idx="27">
                  <c:v>44328</c:v>
                </c:pt>
                <c:pt idx="28">
                  <c:v>44329</c:v>
                </c:pt>
                <c:pt idx="29">
                  <c:v>44330</c:v>
                </c:pt>
                <c:pt idx="30">
                  <c:v>44331</c:v>
                </c:pt>
                <c:pt idx="31">
                  <c:v>44332</c:v>
                </c:pt>
                <c:pt idx="32">
                  <c:v>44333</c:v>
                </c:pt>
                <c:pt idx="33">
                  <c:v>44334</c:v>
                </c:pt>
                <c:pt idx="34">
                  <c:v>44335</c:v>
                </c:pt>
                <c:pt idx="35">
                  <c:v>44336</c:v>
                </c:pt>
                <c:pt idx="36">
                  <c:v>44337</c:v>
                </c:pt>
                <c:pt idx="37">
                  <c:v>44338</c:v>
                </c:pt>
                <c:pt idx="38">
                  <c:v>44339</c:v>
                </c:pt>
                <c:pt idx="39">
                  <c:v>44340</c:v>
                </c:pt>
                <c:pt idx="40">
                  <c:v>44341</c:v>
                </c:pt>
                <c:pt idx="41">
                  <c:v>44342</c:v>
                </c:pt>
                <c:pt idx="42">
                  <c:v>44343</c:v>
                </c:pt>
                <c:pt idx="43">
                  <c:v>44344</c:v>
                </c:pt>
                <c:pt idx="44">
                  <c:v>44345</c:v>
                </c:pt>
                <c:pt idx="45">
                  <c:v>44346</c:v>
                </c:pt>
                <c:pt idx="46">
                  <c:v>44347</c:v>
                </c:pt>
                <c:pt idx="47">
                  <c:v>44348</c:v>
                </c:pt>
                <c:pt idx="48">
                  <c:v>44349</c:v>
                </c:pt>
                <c:pt idx="49">
                  <c:v>44350</c:v>
                </c:pt>
                <c:pt idx="50">
                  <c:v>44351</c:v>
                </c:pt>
                <c:pt idx="51">
                  <c:v>44352</c:v>
                </c:pt>
                <c:pt idx="52">
                  <c:v>44353</c:v>
                </c:pt>
                <c:pt idx="53">
                  <c:v>44354</c:v>
                </c:pt>
                <c:pt idx="54">
                  <c:v>44355</c:v>
                </c:pt>
                <c:pt idx="55">
                  <c:v>44356</c:v>
                </c:pt>
                <c:pt idx="56">
                  <c:v>44357</c:v>
                </c:pt>
                <c:pt idx="57">
                  <c:v>44358</c:v>
                </c:pt>
                <c:pt idx="58">
                  <c:v>44359</c:v>
                </c:pt>
                <c:pt idx="59">
                  <c:v>44360</c:v>
                </c:pt>
                <c:pt idx="60">
                  <c:v>44361</c:v>
                </c:pt>
                <c:pt idx="61">
                  <c:v>44362</c:v>
                </c:pt>
                <c:pt idx="62">
                  <c:v>44363</c:v>
                </c:pt>
                <c:pt idx="63">
                  <c:v>44364</c:v>
                </c:pt>
                <c:pt idx="64">
                  <c:v>44365</c:v>
                </c:pt>
                <c:pt idx="65">
                  <c:v>44366</c:v>
                </c:pt>
                <c:pt idx="66">
                  <c:v>44367</c:v>
                </c:pt>
                <c:pt idx="67">
                  <c:v>44368</c:v>
                </c:pt>
                <c:pt idx="68">
                  <c:v>44369</c:v>
                </c:pt>
                <c:pt idx="69">
                  <c:v>44370</c:v>
                </c:pt>
              </c:numCache>
            </c:numRef>
          </c:cat>
          <c:val>
            <c:numRef>
              <c:f>Prognoseergebnis!$J$66:$J$170</c:f>
              <c:numCache>
                <c:formatCode>#,##0</c:formatCode>
                <c:ptCount val="105"/>
                <c:pt idx="0">
                  <c:v>158.76</c:v>
                </c:pt>
                <c:pt idx="1">
                  <c:v>161.69999999999999</c:v>
                </c:pt>
                <c:pt idx="2">
                  <c:v>164.15</c:v>
                </c:pt>
                <c:pt idx="3">
                  <c:v>163.16999999999999</c:v>
                </c:pt>
                <c:pt idx="4">
                  <c:v>172.97</c:v>
                </c:pt>
                <c:pt idx="5">
                  <c:v>179.83</c:v>
                </c:pt>
                <c:pt idx="6">
                  <c:v>178.85000000000002</c:v>
                </c:pt>
                <c:pt idx="7">
                  <c:v>181.3</c:v>
                </c:pt>
                <c:pt idx="8">
                  <c:v>181.3</c:v>
                </c:pt>
                <c:pt idx="9">
                  <c:v>177.87</c:v>
                </c:pt>
                <c:pt idx="10">
                  <c:v>175.91</c:v>
                </c:pt>
                <c:pt idx="11">
                  <c:v>185.22</c:v>
                </c:pt>
                <c:pt idx="12">
                  <c:v>186.69</c:v>
                </c:pt>
                <c:pt idx="13">
                  <c:v>190.11999999999998</c:v>
                </c:pt>
                <c:pt idx="14">
                  <c:v>197.96</c:v>
                </c:pt>
                <c:pt idx="15">
                  <c:v>196.49</c:v>
                </c:pt>
                <c:pt idx="16">
                  <c:v>193.06</c:v>
                </c:pt>
                <c:pt idx="17">
                  <c:v>192.08</c:v>
                </c:pt>
                <c:pt idx="18">
                  <c:v>203.35000000000002</c:v>
                </c:pt>
                <c:pt idx="19">
                  <c:v>206.29000000000002</c:v>
                </c:pt>
                <c:pt idx="20">
                  <c:v>209.23</c:v>
                </c:pt>
                <c:pt idx="21">
                  <c:v>212.66</c:v>
                </c:pt>
                <c:pt idx="22">
                  <c:v>211.68</c:v>
                </c:pt>
                <c:pt idx="23">
                  <c:v>209.72</c:v>
                </c:pt>
                <c:pt idx="24">
                  <c:v>208.25</c:v>
                </c:pt>
                <c:pt idx="25">
                  <c:v>220.01000000000002</c:v>
                </c:pt>
                <c:pt idx="26">
                  <c:v>224.42</c:v>
                </c:pt>
                <c:pt idx="27">
                  <c:v>225.89</c:v>
                </c:pt>
                <c:pt idx="28">
                  <c:v>228.33999999999997</c:v>
                </c:pt>
                <c:pt idx="29">
                  <c:v>228.82999999999998</c:v>
                </c:pt>
                <c:pt idx="30">
                  <c:v>227.35999999999999</c:v>
                </c:pt>
                <c:pt idx="31">
                  <c:v>226.38</c:v>
                </c:pt>
                <c:pt idx="32">
                  <c:v>239.12</c:v>
                </c:pt>
                <c:pt idx="33">
                  <c:v>242.54999999999998</c:v>
                </c:pt>
                <c:pt idx="34">
                  <c:v>244.01999999999998</c:v>
                </c:pt>
                <c:pt idx="35">
                  <c:v>247.45000000000002</c:v>
                </c:pt>
                <c:pt idx="36">
                  <c:v>247.94</c:v>
                </c:pt>
                <c:pt idx="37">
                  <c:v>246.47</c:v>
                </c:pt>
                <c:pt idx="38">
                  <c:v>244.99999999999997</c:v>
                </c:pt>
                <c:pt idx="39">
                  <c:v>258.71999999999997</c:v>
                </c:pt>
                <c:pt idx="40">
                  <c:v>263.13</c:v>
                </c:pt>
                <c:pt idx="41">
                  <c:v>264.60000000000002</c:v>
                </c:pt>
                <c:pt idx="42">
                  <c:v>268.02999999999997</c:v>
                </c:pt>
                <c:pt idx="43">
                  <c:v>268.52</c:v>
                </c:pt>
                <c:pt idx="44">
                  <c:v>266.56</c:v>
                </c:pt>
                <c:pt idx="45">
                  <c:v>265.09000000000003</c:v>
                </c:pt>
                <c:pt idx="46">
                  <c:v>280.28000000000003</c:v>
                </c:pt>
                <c:pt idx="47">
                  <c:v>284.69</c:v>
                </c:pt>
                <c:pt idx="48">
                  <c:v>286.64999999999998</c:v>
                </c:pt>
                <c:pt idx="49">
                  <c:v>290.08</c:v>
                </c:pt>
                <c:pt idx="50">
                  <c:v>290.57</c:v>
                </c:pt>
                <c:pt idx="51">
                  <c:v>288.60999999999996</c:v>
                </c:pt>
                <c:pt idx="52">
                  <c:v>287.14</c:v>
                </c:pt>
                <c:pt idx="53">
                  <c:v>303.31</c:v>
                </c:pt>
                <c:pt idx="54">
                  <c:v>308.7</c:v>
                </c:pt>
                <c:pt idx="55">
                  <c:v>310.17</c:v>
                </c:pt>
                <c:pt idx="56">
                  <c:v>314.08999999999997</c:v>
                </c:pt>
                <c:pt idx="57">
                  <c:v>315.07</c:v>
                </c:pt>
                <c:pt idx="58">
                  <c:v>312.62</c:v>
                </c:pt>
                <c:pt idx="59">
                  <c:v>311.14999999999998</c:v>
                </c:pt>
                <c:pt idx="60">
                  <c:v>328.78999999999996</c:v>
                </c:pt>
                <c:pt idx="61">
                  <c:v>334.18</c:v>
                </c:pt>
                <c:pt idx="62">
                  <c:v>336.14</c:v>
                </c:pt>
                <c:pt idx="63">
                  <c:v>340.55</c:v>
                </c:pt>
                <c:pt idx="64">
                  <c:v>341.53</c:v>
                </c:pt>
                <c:pt idx="65">
                  <c:v>339.08</c:v>
                </c:pt>
                <c:pt idx="66">
                  <c:v>337.12</c:v>
                </c:pt>
                <c:pt idx="67">
                  <c:v>356.72</c:v>
                </c:pt>
                <c:pt idx="68">
                  <c:v>362.6</c:v>
                </c:pt>
                <c:pt idx="69">
                  <c:v>364.56</c:v>
                </c:pt>
                <c:pt idx="70">
                  <c:v>369.46</c:v>
                </c:pt>
                <c:pt idx="71">
                  <c:v>370.44</c:v>
                </c:pt>
                <c:pt idx="72">
                  <c:v>367.5</c:v>
                </c:pt>
                <c:pt idx="73">
                  <c:v>366.03</c:v>
                </c:pt>
                <c:pt idx="74">
                  <c:v>386.60999999999996</c:v>
                </c:pt>
                <c:pt idx="75">
                  <c:v>393.46999999999997</c:v>
                </c:pt>
                <c:pt idx="76">
                  <c:v>395.92</c:v>
                </c:pt>
                <c:pt idx="77">
                  <c:v>368.48</c:v>
                </c:pt>
                <c:pt idx="78">
                  <c:v>340.55</c:v>
                </c:pt>
                <c:pt idx="79">
                  <c:v>316.53999999999996</c:v>
                </c:pt>
                <c:pt idx="80">
                  <c:v>298.40999999999997</c:v>
                </c:pt>
                <c:pt idx="81">
                  <c:v>284.69</c:v>
                </c:pt>
                <c:pt idx="82">
                  <c:v>253.82</c:v>
                </c:pt>
                <c:pt idx="83">
                  <c:v>221.48</c:v>
                </c:pt>
                <c:pt idx="84">
                  <c:v>191.58999999999997</c:v>
                </c:pt>
                <c:pt idx="85">
                  <c:v>161.69999999999999</c:v>
                </c:pt>
                <c:pt idx="86">
                  <c:v>135.72999999999999</c:v>
                </c:pt>
                <c:pt idx="87">
                  <c:v>115.63999999999999</c:v>
                </c:pt>
                <c:pt idx="88">
                  <c:v>100.94</c:v>
                </c:pt>
                <c:pt idx="89">
                  <c:v>67.13</c:v>
                </c:pt>
                <c:pt idx="90">
                  <c:v>32.339999999999996</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numCache>
            </c:numRef>
          </c:val>
          <c:smooth val="0"/>
          <c:extLst>
            <c:ext xmlns:c16="http://schemas.microsoft.com/office/drawing/2014/chart" uri="{C3380CC4-5D6E-409C-BE32-E72D297353CC}">
              <c16:uniqueId val="{00000007-76FA-44F1-9C97-F076EAE3BB83}"/>
            </c:ext>
          </c:extLst>
        </c:ser>
        <c:dLbls>
          <c:showLegendKey val="0"/>
          <c:showVal val="0"/>
          <c:showCatName val="0"/>
          <c:showSerName val="0"/>
          <c:showPercent val="0"/>
          <c:showBubbleSize val="0"/>
        </c:dLbls>
        <c:marker val="1"/>
        <c:smooth val="0"/>
        <c:axId val="350365952"/>
        <c:axId val="350384128"/>
      </c:lineChart>
      <c:scatterChart>
        <c:scatterStyle val="lineMarker"/>
        <c:varyColors val="0"/>
        <c:ser>
          <c:idx val="2"/>
          <c:order val="3"/>
          <c:tx>
            <c:strRef>
              <c:f>'Grafische Darstellung'!$AR$2</c:f>
              <c:strCache>
                <c:ptCount val="1"/>
                <c:pt idx="0">
                  <c:v>Höchster Peak (Normalstation)</c:v>
                </c:pt>
              </c:strCache>
            </c:strRef>
          </c:tx>
          <c:spPr>
            <a:ln w="25400" cap="rnd">
              <a:noFill/>
              <a:round/>
            </a:ln>
            <a:effectLst/>
          </c:spPr>
          <c:marker>
            <c:symbol val="diamond"/>
            <c:size val="10"/>
            <c:spPr>
              <a:solidFill>
                <a:srgbClr val="FF0000"/>
              </a:solidFill>
              <a:ln w="9525">
                <a:noFill/>
              </a:ln>
              <a:effectLst/>
            </c:spPr>
          </c:marker>
          <c:dLbls>
            <c:dLbl>
              <c:idx val="0"/>
              <c:tx>
                <c:rich>
                  <a:bodyPr/>
                  <a:lstStyle/>
                  <a:p>
                    <a:fld id="{A9EA6BA8-19B2-4F6F-B4C2-6D1FC2A6AB23}" type="CELLRANGE">
                      <a:rPr lang="en-US"/>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76FA-44F1-9C97-F076EAE3BB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'Grafische Darstellung'!$AS$3</c:f>
              <c:numCache>
                <c:formatCode>m/d/yyyy</c:formatCode>
                <c:ptCount val="1"/>
                <c:pt idx="0">
                  <c:v>44370</c:v>
                </c:pt>
              </c:numCache>
            </c:numRef>
          </c:xVal>
          <c:yVal>
            <c:numRef>
              <c:f>'Grafische Darstellung'!$AS$2</c:f>
              <c:numCache>
                <c:formatCode>#,##0</c:formatCode>
                <c:ptCount val="1"/>
                <c:pt idx="0">
                  <c:v>4239</c:v>
                </c:pt>
              </c:numCache>
            </c:numRef>
          </c:yVal>
          <c:smooth val="0"/>
          <c:extLst>
            <c:ext xmlns:c15="http://schemas.microsoft.com/office/drawing/2012/chart" uri="{02D57815-91ED-43cb-92C2-25804820EDAC}">
              <c15:datalabelsRange>
                <c15:f>'Grafische Darstellung'!$AU$2</c15:f>
                <c15:dlblRangeCache>
                  <c:ptCount val="1"/>
                  <c:pt idx="0">
                    <c:v>Peak: 4.239 am 23.06</c:v>
                  </c:pt>
                </c15:dlblRangeCache>
              </c15:datalabelsRange>
            </c:ext>
            <c:ext xmlns:c16="http://schemas.microsoft.com/office/drawing/2014/chart" uri="{C3380CC4-5D6E-409C-BE32-E72D297353CC}">
              <c16:uniqueId val="{00000002-76FA-44F1-9C97-F076EAE3BB83}"/>
            </c:ext>
          </c:extLst>
        </c:ser>
        <c:ser>
          <c:idx val="3"/>
          <c:order val="4"/>
          <c:tx>
            <c:strRef>
              <c:f>'Grafische Darstellung'!$AR$6</c:f>
              <c:strCache>
                <c:ptCount val="1"/>
                <c:pt idx="0">
                  <c:v>Höchster Peak (Intensivstation)</c:v>
                </c:pt>
              </c:strCache>
            </c:strRef>
          </c:tx>
          <c:spPr>
            <a:ln w="25400" cap="rnd">
              <a:noFill/>
              <a:round/>
            </a:ln>
            <a:effectLst/>
          </c:spPr>
          <c:marker>
            <c:symbol val="diamond"/>
            <c:size val="10"/>
            <c:spPr>
              <a:solidFill>
                <a:schemeClr val="accent4"/>
              </a:solidFill>
              <a:ln w="9525">
                <a:solidFill>
                  <a:schemeClr val="accent4"/>
                </a:solidFill>
              </a:ln>
              <a:effectLst/>
            </c:spPr>
          </c:marker>
          <c:dLbls>
            <c:dLbl>
              <c:idx val="0"/>
              <c:tx>
                <c:rich>
                  <a:bodyPr/>
                  <a:lstStyle/>
                  <a:p>
                    <a:fld id="{2DE72283-97EC-4CDD-8CDE-D5F1A6E0F8F4}" type="CELLRANGE">
                      <a:rPr lang="en-US"/>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76FA-44F1-9C97-F076EAE3BB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'Grafische Darstellung'!$AS$7</c:f>
              <c:numCache>
                <c:formatCode>m/d/yyyy</c:formatCode>
                <c:ptCount val="1"/>
                <c:pt idx="0">
                  <c:v>44370</c:v>
                </c:pt>
              </c:numCache>
            </c:numRef>
          </c:xVal>
          <c:yVal>
            <c:numRef>
              <c:f>'Grafische Darstellung'!$AS$6</c:f>
              <c:numCache>
                <c:formatCode>General</c:formatCode>
                <c:ptCount val="1"/>
                <c:pt idx="0">
                  <c:v>744</c:v>
                </c:pt>
              </c:numCache>
            </c:numRef>
          </c:yVal>
          <c:smooth val="0"/>
          <c:extLst>
            <c:ext xmlns:c15="http://schemas.microsoft.com/office/drawing/2012/chart" uri="{02D57815-91ED-43cb-92C2-25804820EDAC}">
              <c15:datalabelsRange>
                <c15:f>'Grafische Darstellung'!$AU$6</c15:f>
                <c15:dlblRangeCache>
                  <c:ptCount val="1"/>
                  <c:pt idx="0">
                    <c:v>Peak: 744 am 23.06</c:v>
                  </c:pt>
                </c15:dlblRangeCache>
              </c15:datalabelsRange>
            </c:ext>
            <c:ext xmlns:c16="http://schemas.microsoft.com/office/drawing/2014/chart" uri="{C3380CC4-5D6E-409C-BE32-E72D297353CC}">
              <c16:uniqueId val="{00000003-76FA-44F1-9C97-F076EAE3BB83}"/>
            </c:ext>
          </c:extLst>
        </c:ser>
        <c:ser>
          <c:idx val="4"/>
          <c:order val="5"/>
          <c:tx>
            <c:v>Höchster Peak (ECMO)</c:v>
          </c:tx>
          <c:spPr>
            <a:ln w="25400" cap="rnd">
              <a:noFill/>
              <a:round/>
            </a:ln>
            <a:effectLst/>
          </c:spPr>
          <c:marker>
            <c:symbol val="circle"/>
            <c:size val="5"/>
            <c:spPr>
              <a:solidFill>
                <a:schemeClr val="accent5"/>
              </a:solidFill>
              <a:ln w="9525">
                <a:solidFill>
                  <a:schemeClr val="accent5"/>
                </a:solidFill>
              </a:ln>
              <a:effectLst/>
            </c:spPr>
          </c:marker>
          <c:dPt>
            <c:idx val="0"/>
            <c:marker>
              <c:symbol val="diamond"/>
              <c:size val="10"/>
            </c:marker>
            <c:bubble3D val="0"/>
            <c:extLst>
              <c:ext xmlns:c16="http://schemas.microsoft.com/office/drawing/2014/chart" uri="{C3380CC4-5D6E-409C-BE32-E72D297353CC}">
                <c16:uniqueId val="{00000008-76FA-44F1-9C97-F076EAE3BB83}"/>
              </c:ext>
            </c:extLst>
          </c:dPt>
          <c:dLbls>
            <c:dLbl>
              <c:idx val="0"/>
              <c:tx>
                <c:rich>
                  <a:bodyPr/>
                  <a:lstStyle/>
                  <a:p>
                    <a:fld id="{B282099B-DBF2-4969-9D3B-123F9E435B67}" type="CELLRANGE">
                      <a:rPr lang="en-US"/>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76FA-44F1-9C97-F076EAE3BB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'Grafische Darstellung'!$AS$13</c:f>
              <c:numCache>
                <c:formatCode>m/d/yyyy</c:formatCode>
                <c:ptCount val="1"/>
                <c:pt idx="0">
                  <c:v>44370</c:v>
                </c:pt>
              </c:numCache>
            </c:numRef>
          </c:xVal>
          <c:yVal>
            <c:numRef>
              <c:f>'Grafische Darstellung'!$AS$12</c:f>
              <c:numCache>
                <c:formatCode>General</c:formatCode>
                <c:ptCount val="1"/>
                <c:pt idx="0">
                  <c:v>364.56</c:v>
                </c:pt>
              </c:numCache>
            </c:numRef>
          </c:yVal>
          <c:smooth val="0"/>
          <c:extLst>
            <c:ext xmlns:c15="http://schemas.microsoft.com/office/drawing/2012/chart" uri="{02D57815-91ED-43cb-92C2-25804820EDAC}">
              <c15:datalabelsRange>
                <c15:f>'Grafische Darstellung'!$AU$12</c15:f>
                <c15:dlblRangeCache>
                  <c:ptCount val="1"/>
                  <c:pt idx="0">
                    <c:v>Peak: 365 am 23.06</c:v>
                  </c:pt>
                </c15:dlblRangeCache>
              </c15:datalabelsRange>
            </c:ext>
            <c:ext xmlns:c16="http://schemas.microsoft.com/office/drawing/2014/chart" uri="{C3380CC4-5D6E-409C-BE32-E72D297353CC}">
              <c16:uniqueId val="{00000006-76FA-44F1-9C97-F076EAE3BB83}"/>
            </c:ext>
          </c:extLst>
        </c:ser>
        <c:dLbls>
          <c:showLegendKey val="0"/>
          <c:showVal val="0"/>
          <c:showCatName val="0"/>
          <c:showSerName val="0"/>
          <c:showPercent val="0"/>
          <c:showBubbleSize val="0"/>
        </c:dLbls>
        <c:axId val="350387200"/>
        <c:axId val="350385664"/>
      </c:scatterChart>
      <c:dateAx>
        <c:axId val="350365952"/>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50384128"/>
        <c:crosses val="autoZero"/>
        <c:auto val="1"/>
        <c:lblOffset val="100"/>
        <c:baseTimeUnit val="days"/>
      </c:dateAx>
      <c:valAx>
        <c:axId val="35038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50365952"/>
        <c:crosses val="autoZero"/>
        <c:crossBetween val="between"/>
      </c:valAx>
      <c:valAx>
        <c:axId val="350385664"/>
        <c:scaling>
          <c:orientation val="minMax"/>
        </c:scaling>
        <c:delete val="1"/>
        <c:axPos val="r"/>
        <c:numFmt formatCode="#,##0" sourceLinked="1"/>
        <c:majorTickMark val="out"/>
        <c:minorTickMark val="none"/>
        <c:tickLblPos val="nextTo"/>
        <c:crossAx val="350387200"/>
        <c:crosses val="max"/>
        <c:crossBetween val="between"/>
      </c:valAx>
      <c:catAx>
        <c:axId val="350387200"/>
        <c:scaling>
          <c:orientation val="minMax"/>
        </c:scaling>
        <c:delete val="1"/>
        <c:axPos val="b"/>
        <c:numFmt formatCode="m/d/yyyy" sourceLinked="1"/>
        <c:majorTickMark val="out"/>
        <c:minorTickMark val="none"/>
        <c:tickLblPos val="nextTo"/>
        <c:crossAx val="350385664"/>
        <c:crosses val="autoZero"/>
        <c:auto val="1"/>
        <c:lblAlgn val="ctr"/>
        <c:lblOffset val="100"/>
        <c:noMultiLvlLbl val="0"/>
      </c:catAx>
      <c:spPr>
        <a:noFill/>
        <a:ln>
          <a:noFill/>
        </a:ln>
        <a:effectLst/>
      </c:spPr>
    </c:plotArea>
    <c:legend>
      <c:legendPos val="b"/>
      <c:legendEntry>
        <c:idx val="3"/>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a:t>Mitarbeiterbedarf pro 24h, Pflegedienst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lineChart>
        <c:grouping val="standard"/>
        <c:varyColors val="0"/>
        <c:ser>
          <c:idx val="0"/>
          <c:order val="0"/>
          <c:tx>
            <c:v>Normalstation</c:v>
          </c:tx>
          <c:spPr>
            <a:ln w="28575" cap="rnd">
              <a:solidFill>
                <a:srgbClr val="FF0000"/>
              </a:solidFill>
              <a:round/>
            </a:ln>
            <a:effectLst/>
          </c:spPr>
          <c:marker>
            <c:symbol val="none"/>
          </c:marker>
          <c:cat>
            <c:numRef>
              <c:f>Prognoseergebnis!$C$66:$C$135</c:f>
              <c:numCache>
                <c:formatCode>m/d/yyyy</c:formatCode>
                <c:ptCount val="70"/>
                <c:pt idx="0">
                  <c:v>44301</c:v>
                </c:pt>
                <c:pt idx="1">
                  <c:v>44302</c:v>
                </c:pt>
                <c:pt idx="2">
                  <c:v>44303</c:v>
                </c:pt>
                <c:pt idx="3">
                  <c:v>44304</c:v>
                </c:pt>
                <c:pt idx="4">
                  <c:v>44305</c:v>
                </c:pt>
                <c:pt idx="5">
                  <c:v>44306</c:v>
                </c:pt>
                <c:pt idx="6">
                  <c:v>44307</c:v>
                </c:pt>
                <c:pt idx="7">
                  <c:v>44308</c:v>
                </c:pt>
                <c:pt idx="8">
                  <c:v>44309</c:v>
                </c:pt>
                <c:pt idx="9">
                  <c:v>44310</c:v>
                </c:pt>
                <c:pt idx="10">
                  <c:v>44311</c:v>
                </c:pt>
                <c:pt idx="11">
                  <c:v>44312</c:v>
                </c:pt>
                <c:pt idx="12">
                  <c:v>44313</c:v>
                </c:pt>
                <c:pt idx="13">
                  <c:v>44314</c:v>
                </c:pt>
                <c:pt idx="14">
                  <c:v>44315</c:v>
                </c:pt>
                <c:pt idx="15">
                  <c:v>44316</c:v>
                </c:pt>
                <c:pt idx="16">
                  <c:v>44317</c:v>
                </c:pt>
                <c:pt idx="17">
                  <c:v>44318</c:v>
                </c:pt>
                <c:pt idx="18">
                  <c:v>44319</c:v>
                </c:pt>
                <c:pt idx="19">
                  <c:v>44320</c:v>
                </c:pt>
                <c:pt idx="20">
                  <c:v>44321</c:v>
                </c:pt>
                <c:pt idx="21">
                  <c:v>44322</c:v>
                </c:pt>
                <c:pt idx="22">
                  <c:v>44323</c:v>
                </c:pt>
                <c:pt idx="23">
                  <c:v>44324</c:v>
                </c:pt>
                <c:pt idx="24">
                  <c:v>44325</c:v>
                </c:pt>
                <c:pt idx="25">
                  <c:v>44326</c:v>
                </c:pt>
                <c:pt idx="26">
                  <c:v>44327</c:v>
                </c:pt>
                <c:pt idx="27">
                  <c:v>44328</c:v>
                </c:pt>
                <c:pt idx="28">
                  <c:v>44329</c:v>
                </c:pt>
                <c:pt idx="29">
                  <c:v>44330</c:v>
                </c:pt>
                <c:pt idx="30">
                  <c:v>44331</c:v>
                </c:pt>
                <c:pt idx="31">
                  <c:v>44332</c:v>
                </c:pt>
                <c:pt idx="32">
                  <c:v>44333</c:v>
                </c:pt>
                <c:pt idx="33">
                  <c:v>44334</c:v>
                </c:pt>
                <c:pt idx="34">
                  <c:v>44335</c:v>
                </c:pt>
                <c:pt idx="35">
                  <c:v>44336</c:v>
                </c:pt>
                <c:pt idx="36">
                  <c:v>44337</c:v>
                </c:pt>
                <c:pt idx="37">
                  <c:v>44338</c:v>
                </c:pt>
                <c:pt idx="38">
                  <c:v>44339</c:v>
                </c:pt>
                <c:pt idx="39">
                  <c:v>44340</c:v>
                </c:pt>
                <c:pt idx="40">
                  <c:v>44341</c:v>
                </c:pt>
                <c:pt idx="41">
                  <c:v>44342</c:v>
                </c:pt>
                <c:pt idx="42">
                  <c:v>44343</c:v>
                </c:pt>
                <c:pt idx="43">
                  <c:v>44344</c:v>
                </c:pt>
                <c:pt idx="44">
                  <c:v>44345</c:v>
                </c:pt>
                <c:pt idx="45">
                  <c:v>44346</c:v>
                </c:pt>
                <c:pt idx="46">
                  <c:v>44347</c:v>
                </c:pt>
                <c:pt idx="47">
                  <c:v>44348</c:v>
                </c:pt>
                <c:pt idx="48">
                  <c:v>44349</c:v>
                </c:pt>
                <c:pt idx="49">
                  <c:v>44350</c:v>
                </c:pt>
                <c:pt idx="50">
                  <c:v>44351</c:v>
                </c:pt>
                <c:pt idx="51">
                  <c:v>44352</c:v>
                </c:pt>
                <c:pt idx="52">
                  <c:v>44353</c:v>
                </c:pt>
                <c:pt idx="53">
                  <c:v>44354</c:v>
                </c:pt>
                <c:pt idx="54">
                  <c:v>44355</c:v>
                </c:pt>
                <c:pt idx="55">
                  <c:v>44356</c:v>
                </c:pt>
                <c:pt idx="56">
                  <c:v>44357</c:v>
                </c:pt>
                <c:pt idx="57">
                  <c:v>44358</c:v>
                </c:pt>
                <c:pt idx="58">
                  <c:v>44359</c:v>
                </c:pt>
                <c:pt idx="59">
                  <c:v>44360</c:v>
                </c:pt>
                <c:pt idx="60">
                  <c:v>44361</c:v>
                </c:pt>
                <c:pt idx="61">
                  <c:v>44362</c:v>
                </c:pt>
                <c:pt idx="62">
                  <c:v>44363</c:v>
                </c:pt>
                <c:pt idx="63">
                  <c:v>44364</c:v>
                </c:pt>
                <c:pt idx="64">
                  <c:v>44365</c:v>
                </c:pt>
                <c:pt idx="65">
                  <c:v>44366</c:v>
                </c:pt>
                <c:pt idx="66">
                  <c:v>44367</c:v>
                </c:pt>
                <c:pt idx="67">
                  <c:v>44368</c:v>
                </c:pt>
                <c:pt idx="68">
                  <c:v>44369</c:v>
                </c:pt>
                <c:pt idx="69">
                  <c:v>44370</c:v>
                </c:pt>
              </c:numCache>
            </c:numRef>
          </c:cat>
          <c:val>
            <c:numRef>
              <c:f>Prognoseergebnis!$O$66:$O$135</c:f>
              <c:numCache>
                <c:formatCode>#,##0</c:formatCode>
                <c:ptCount val="70"/>
                <c:pt idx="0">
                  <c:v>835.4666666666667</c:v>
                </c:pt>
                <c:pt idx="1">
                  <c:v>839.36666666666656</c:v>
                </c:pt>
                <c:pt idx="2">
                  <c:v>832.86666666666656</c:v>
                </c:pt>
                <c:pt idx="3">
                  <c:v>828.5333333333333</c:v>
                </c:pt>
                <c:pt idx="4">
                  <c:v>828.5333333333333</c:v>
                </c:pt>
                <c:pt idx="5">
                  <c:v>843.26666666666665</c:v>
                </c:pt>
                <c:pt idx="6">
                  <c:v>902.2</c:v>
                </c:pt>
                <c:pt idx="7">
                  <c:v>911.3</c:v>
                </c:pt>
                <c:pt idx="8">
                  <c:v>913.4666666666667</c:v>
                </c:pt>
                <c:pt idx="9">
                  <c:v>917.8</c:v>
                </c:pt>
                <c:pt idx="10">
                  <c:v>923</c:v>
                </c:pt>
                <c:pt idx="11">
                  <c:v>925.16666666666663</c:v>
                </c:pt>
                <c:pt idx="12">
                  <c:v>962</c:v>
                </c:pt>
                <c:pt idx="13">
                  <c:v>988</c:v>
                </c:pt>
                <c:pt idx="14">
                  <c:v>982.36666666666656</c:v>
                </c:pt>
                <c:pt idx="15">
                  <c:v>985.83333333333337</c:v>
                </c:pt>
                <c:pt idx="16">
                  <c:v>991.4666666666667</c:v>
                </c:pt>
                <c:pt idx="17">
                  <c:v>994.93333333333339</c:v>
                </c:pt>
                <c:pt idx="18">
                  <c:v>1014.4333333333334</c:v>
                </c:pt>
                <c:pt idx="19">
                  <c:v>1041.7333333333333</c:v>
                </c:pt>
                <c:pt idx="20">
                  <c:v>1050.8333333333335</c:v>
                </c:pt>
                <c:pt idx="21">
                  <c:v>1058.2</c:v>
                </c:pt>
                <c:pt idx="22">
                  <c:v>1071.6333333333334</c:v>
                </c:pt>
                <c:pt idx="23">
                  <c:v>1079.8666666666666</c:v>
                </c:pt>
                <c:pt idx="24">
                  <c:v>1082.9000000000001</c:v>
                </c:pt>
                <c:pt idx="25">
                  <c:v>1096.3333333333335</c:v>
                </c:pt>
                <c:pt idx="26">
                  <c:v>1118.4333333333334</c:v>
                </c:pt>
                <c:pt idx="27">
                  <c:v>1132.7333333333333</c:v>
                </c:pt>
                <c:pt idx="28">
                  <c:v>1148.7666666666667</c:v>
                </c:pt>
                <c:pt idx="29">
                  <c:v>1162.6333333333334</c:v>
                </c:pt>
                <c:pt idx="30">
                  <c:v>1169.1333333333334</c:v>
                </c:pt>
                <c:pt idx="31">
                  <c:v>1171.7333333333333</c:v>
                </c:pt>
                <c:pt idx="32">
                  <c:v>1185.5999999999999</c:v>
                </c:pt>
                <c:pt idx="33">
                  <c:v>1212.4666666666667</c:v>
                </c:pt>
                <c:pt idx="34">
                  <c:v>1229.8</c:v>
                </c:pt>
                <c:pt idx="35">
                  <c:v>1244.5333333333333</c:v>
                </c:pt>
                <c:pt idx="36">
                  <c:v>1257.5333333333333</c:v>
                </c:pt>
                <c:pt idx="37">
                  <c:v>1264.9000000000001</c:v>
                </c:pt>
                <c:pt idx="38">
                  <c:v>1269.2333333333333</c:v>
                </c:pt>
                <c:pt idx="39">
                  <c:v>1285.2666666666667</c:v>
                </c:pt>
                <c:pt idx="40">
                  <c:v>1313.8666666666666</c:v>
                </c:pt>
                <c:pt idx="41">
                  <c:v>1331.2</c:v>
                </c:pt>
                <c:pt idx="42">
                  <c:v>1346.3666666666668</c:v>
                </c:pt>
                <c:pt idx="43">
                  <c:v>1361.1</c:v>
                </c:pt>
                <c:pt idx="44">
                  <c:v>1370.2</c:v>
                </c:pt>
                <c:pt idx="45">
                  <c:v>1374.5333333333333</c:v>
                </c:pt>
                <c:pt idx="46">
                  <c:v>1391.4333333333334</c:v>
                </c:pt>
                <c:pt idx="47">
                  <c:v>1422.2</c:v>
                </c:pt>
                <c:pt idx="48">
                  <c:v>1441.2666666666669</c:v>
                </c:pt>
                <c:pt idx="49">
                  <c:v>1458.1666666666667</c:v>
                </c:pt>
                <c:pt idx="50">
                  <c:v>1474.6333333333332</c:v>
                </c:pt>
                <c:pt idx="51">
                  <c:v>1484.1666666666667</c:v>
                </c:pt>
                <c:pt idx="52">
                  <c:v>1488.9333333333334</c:v>
                </c:pt>
                <c:pt idx="53">
                  <c:v>1507.5666666666666</c:v>
                </c:pt>
                <c:pt idx="54">
                  <c:v>1540.9333333333334</c:v>
                </c:pt>
                <c:pt idx="55">
                  <c:v>1562.1666666666667</c:v>
                </c:pt>
                <c:pt idx="56">
                  <c:v>1580.3666666666668</c:v>
                </c:pt>
                <c:pt idx="57">
                  <c:v>1598.1333333333332</c:v>
                </c:pt>
                <c:pt idx="58">
                  <c:v>1608.5333333333333</c:v>
                </c:pt>
                <c:pt idx="59">
                  <c:v>1613.7333333333331</c:v>
                </c:pt>
                <c:pt idx="60">
                  <c:v>1634.1</c:v>
                </c:pt>
                <c:pt idx="61">
                  <c:v>1670.9333333333334</c:v>
                </c:pt>
                <c:pt idx="62">
                  <c:v>1693.4666666666667</c:v>
                </c:pt>
                <c:pt idx="63">
                  <c:v>1713.8333333333333</c:v>
                </c:pt>
                <c:pt idx="64">
                  <c:v>1732.9</c:v>
                </c:pt>
                <c:pt idx="65">
                  <c:v>1744.1666666666667</c:v>
                </c:pt>
                <c:pt idx="66">
                  <c:v>1750.2333333333331</c:v>
                </c:pt>
                <c:pt idx="67">
                  <c:v>1772.3333333333333</c:v>
                </c:pt>
                <c:pt idx="68">
                  <c:v>1812.2</c:v>
                </c:pt>
                <c:pt idx="69">
                  <c:v>1836.9</c:v>
                </c:pt>
              </c:numCache>
            </c:numRef>
          </c:val>
          <c:smooth val="0"/>
          <c:extLst>
            <c:ext xmlns:c16="http://schemas.microsoft.com/office/drawing/2014/chart" uri="{C3380CC4-5D6E-409C-BE32-E72D297353CC}">
              <c16:uniqueId val="{00000000-88F3-41FF-B692-2A519221DCB3}"/>
            </c:ext>
          </c:extLst>
        </c:ser>
        <c:ser>
          <c:idx val="1"/>
          <c:order val="1"/>
          <c:tx>
            <c:v>Intensivstation</c:v>
          </c:tx>
          <c:spPr>
            <a:ln w="28575" cap="rnd">
              <a:solidFill>
                <a:srgbClr val="C00000"/>
              </a:solidFill>
              <a:round/>
            </a:ln>
            <a:effectLst/>
          </c:spPr>
          <c:marker>
            <c:symbol val="none"/>
          </c:marker>
          <c:cat>
            <c:numRef>
              <c:f>Prognoseergebnis!$C$66:$C$135</c:f>
              <c:numCache>
                <c:formatCode>m/d/yyyy</c:formatCode>
                <c:ptCount val="70"/>
                <c:pt idx="0">
                  <c:v>44301</c:v>
                </c:pt>
                <c:pt idx="1">
                  <c:v>44302</c:v>
                </c:pt>
                <c:pt idx="2">
                  <c:v>44303</c:v>
                </c:pt>
                <c:pt idx="3">
                  <c:v>44304</c:v>
                </c:pt>
                <c:pt idx="4">
                  <c:v>44305</c:v>
                </c:pt>
                <c:pt idx="5">
                  <c:v>44306</c:v>
                </c:pt>
                <c:pt idx="6">
                  <c:v>44307</c:v>
                </c:pt>
                <c:pt idx="7">
                  <c:v>44308</c:v>
                </c:pt>
                <c:pt idx="8">
                  <c:v>44309</c:v>
                </c:pt>
                <c:pt idx="9">
                  <c:v>44310</c:v>
                </c:pt>
                <c:pt idx="10">
                  <c:v>44311</c:v>
                </c:pt>
                <c:pt idx="11">
                  <c:v>44312</c:v>
                </c:pt>
                <c:pt idx="12">
                  <c:v>44313</c:v>
                </c:pt>
                <c:pt idx="13">
                  <c:v>44314</c:v>
                </c:pt>
                <c:pt idx="14">
                  <c:v>44315</c:v>
                </c:pt>
                <c:pt idx="15">
                  <c:v>44316</c:v>
                </c:pt>
                <c:pt idx="16">
                  <c:v>44317</c:v>
                </c:pt>
                <c:pt idx="17">
                  <c:v>44318</c:v>
                </c:pt>
                <c:pt idx="18">
                  <c:v>44319</c:v>
                </c:pt>
                <c:pt idx="19">
                  <c:v>44320</c:v>
                </c:pt>
                <c:pt idx="20">
                  <c:v>44321</c:v>
                </c:pt>
                <c:pt idx="21">
                  <c:v>44322</c:v>
                </c:pt>
                <c:pt idx="22">
                  <c:v>44323</c:v>
                </c:pt>
                <c:pt idx="23">
                  <c:v>44324</c:v>
                </c:pt>
                <c:pt idx="24">
                  <c:v>44325</c:v>
                </c:pt>
                <c:pt idx="25">
                  <c:v>44326</c:v>
                </c:pt>
                <c:pt idx="26">
                  <c:v>44327</c:v>
                </c:pt>
                <c:pt idx="27">
                  <c:v>44328</c:v>
                </c:pt>
                <c:pt idx="28">
                  <c:v>44329</c:v>
                </c:pt>
                <c:pt idx="29">
                  <c:v>44330</c:v>
                </c:pt>
                <c:pt idx="30">
                  <c:v>44331</c:v>
                </c:pt>
                <c:pt idx="31">
                  <c:v>44332</c:v>
                </c:pt>
                <c:pt idx="32">
                  <c:v>44333</c:v>
                </c:pt>
                <c:pt idx="33">
                  <c:v>44334</c:v>
                </c:pt>
                <c:pt idx="34">
                  <c:v>44335</c:v>
                </c:pt>
                <c:pt idx="35">
                  <c:v>44336</c:v>
                </c:pt>
                <c:pt idx="36">
                  <c:v>44337</c:v>
                </c:pt>
                <c:pt idx="37">
                  <c:v>44338</c:v>
                </c:pt>
                <c:pt idx="38">
                  <c:v>44339</c:v>
                </c:pt>
                <c:pt idx="39">
                  <c:v>44340</c:v>
                </c:pt>
                <c:pt idx="40">
                  <c:v>44341</c:v>
                </c:pt>
                <c:pt idx="41">
                  <c:v>44342</c:v>
                </c:pt>
                <c:pt idx="42">
                  <c:v>44343</c:v>
                </c:pt>
                <c:pt idx="43">
                  <c:v>44344</c:v>
                </c:pt>
                <c:pt idx="44">
                  <c:v>44345</c:v>
                </c:pt>
                <c:pt idx="45">
                  <c:v>44346</c:v>
                </c:pt>
                <c:pt idx="46">
                  <c:v>44347</c:v>
                </c:pt>
                <c:pt idx="47">
                  <c:v>44348</c:v>
                </c:pt>
                <c:pt idx="48">
                  <c:v>44349</c:v>
                </c:pt>
                <c:pt idx="49">
                  <c:v>44350</c:v>
                </c:pt>
                <c:pt idx="50">
                  <c:v>44351</c:v>
                </c:pt>
                <c:pt idx="51">
                  <c:v>44352</c:v>
                </c:pt>
                <c:pt idx="52">
                  <c:v>44353</c:v>
                </c:pt>
                <c:pt idx="53">
                  <c:v>44354</c:v>
                </c:pt>
                <c:pt idx="54">
                  <c:v>44355</c:v>
                </c:pt>
                <c:pt idx="55">
                  <c:v>44356</c:v>
                </c:pt>
                <c:pt idx="56">
                  <c:v>44357</c:v>
                </c:pt>
                <c:pt idx="57">
                  <c:v>44358</c:v>
                </c:pt>
                <c:pt idx="58">
                  <c:v>44359</c:v>
                </c:pt>
                <c:pt idx="59">
                  <c:v>44360</c:v>
                </c:pt>
                <c:pt idx="60">
                  <c:v>44361</c:v>
                </c:pt>
                <c:pt idx="61">
                  <c:v>44362</c:v>
                </c:pt>
                <c:pt idx="62">
                  <c:v>44363</c:v>
                </c:pt>
                <c:pt idx="63">
                  <c:v>44364</c:v>
                </c:pt>
                <c:pt idx="64">
                  <c:v>44365</c:v>
                </c:pt>
                <c:pt idx="65">
                  <c:v>44366</c:v>
                </c:pt>
                <c:pt idx="66">
                  <c:v>44367</c:v>
                </c:pt>
                <c:pt idx="67">
                  <c:v>44368</c:v>
                </c:pt>
                <c:pt idx="68">
                  <c:v>44369</c:v>
                </c:pt>
                <c:pt idx="69">
                  <c:v>44370</c:v>
                </c:pt>
              </c:numCache>
            </c:numRef>
          </c:cat>
          <c:val>
            <c:numRef>
              <c:f>Prognoseergebnis!$P$66:$P$135</c:f>
              <c:numCache>
                <c:formatCode>#,##0</c:formatCode>
                <c:ptCount val="70"/>
                <c:pt idx="0">
                  <c:v>352</c:v>
                </c:pt>
                <c:pt idx="1">
                  <c:v>359</c:v>
                </c:pt>
                <c:pt idx="2">
                  <c:v>364</c:v>
                </c:pt>
                <c:pt idx="3">
                  <c:v>362</c:v>
                </c:pt>
                <c:pt idx="4">
                  <c:v>384</c:v>
                </c:pt>
                <c:pt idx="5">
                  <c:v>399</c:v>
                </c:pt>
                <c:pt idx="6">
                  <c:v>397</c:v>
                </c:pt>
                <c:pt idx="7">
                  <c:v>402</c:v>
                </c:pt>
                <c:pt idx="8">
                  <c:v>402</c:v>
                </c:pt>
                <c:pt idx="9">
                  <c:v>395</c:v>
                </c:pt>
                <c:pt idx="10">
                  <c:v>390</c:v>
                </c:pt>
                <c:pt idx="11">
                  <c:v>411</c:v>
                </c:pt>
                <c:pt idx="12">
                  <c:v>414</c:v>
                </c:pt>
                <c:pt idx="13">
                  <c:v>422</c:v>
                </c:pt>
                <c:pt idx="14">
                  <c:v>439</c:v>
                </c:pt>
                <c:pt idx="15">
                  <c:v>436</c:v>
                </c:pt>
                <c:pt idx="16">
                  <c:v>428</c:v>
                </c:pt>
                <c:pt idx="17">
                  <c:v>426</c:v>
                </c:pt>
                <c:pt idx="18">
                  <c:v>451</c:v>
                </c:pt>
                <c:pt idx="19">
                  <c:v>458</c:v>
                </c:pt>
                <c:pt idx="20">
                  <c:v>464</c:v>
                </c:pt>
                <c:pt idx="21">
                  <c:v>472</c:v>
                </c:pt>
                <c:pt idx="22">
                  <c:v>470</c:v>
                </c:pt>
                <c:pt idx="23">
                  <c:v>465</c:v>
                </c:pt>
                <c:pt idx="24">
                  <c:v>462</c:v>
                </c:pt>
                <c:pt idx="25">
                  <c:v>488</c:v>
                </c:pt>
                <c:pt idx="26">
                  <c:v>498</c:v>
                </c:pt>
                <c:pt idx="27">
                  <c:v>501</c:v>
                </c:pt>
                <c:pt idx="28">
                  <c:v>506</c:v>
                </c:pt>
                <c:pt idx="29">
                  <c:v>508</c:v>
                </c:pt>
                <c:pt idx="30">
                  <c:v>504</c:v>
                </c:pt>
                <c:pt idx="31">
                  <c:v>502</c:v>
                </c:pt>
                <c:pt idx="32">
                  <c:v>530</c:v>
                </c:pt>
                <c:pt idx="33">
                  <c:v>538</c:v>
                </c:pt>
                <c:pt idx="34">
                  <c:v>541</c:v>
                </c:pt>
                <c:pt idx="35">
                  <c:v>549</c:v>
                </c:pt>
                <c:pt idx="36">
                  <c:v>550</c:v>
                </c:pt>
                <c:pt idx="37">
                  <c:v>547</c:v>
                </c:pt>
                <c:pt idx="38">
                  <c:v>543</c:v>
                </c:pt>
                <c:pt idx="39">
                  <c:v>574</c:v>
                </c:pt>
                <c:pt idx="40">
                  <c:v>584</c:v>
                </c:pt>
                <c:pt idx="41">
                  <c:v>587</c:v>
                </c:pt>
                <c:pt idx="42">
                  <c:v>594</c:v>
                </c:pt>
                <c:pt idx="43">
                  <c:v>595</c:v>
                </c:pt>
                <c:pt idx="44">
                  <c:v>591</c:v>
                </c:pt>
                <c:pt idx="45">
                  <c:v>588</c:v>
                </c:pt>
                <c:pt idx="46">
                  <c:v>622</c:v>
                </c:pt>
                <c:pt idx="47">
                  <c:v>631</c:v>
                </c:pt>
                <c:pt idx="48">
                  <c:v>636</c:v>
                </c:pt>
                <c:pt idx="49">
                  <c:v>643</c:v>
                </c:pt>
                <c:pt idx="50">
                  <c:v>644</c:v>
                </c:pt>
                <c:pt idx="51">
                  <c:v>640</c:v>
                </c:pt>
                <c:pt idx="52">
                  <c:v>637</c:v>
                </c:pt>
                <c:pt idx="53">
                  <c:v>673</c:v>
                </c:pt>
                <c:pt idx="54">
                  <c:v>684</c:v>
                </c:pt>
                <c:pt idx="55">
                  <c:v>688</c:v>
                </c:pt>
                <c:pt idx="56">
                  <c:v>696</c:v>
                </c:pt>
                <c:pt idx="57">
                  <c:v>699</c:v>
                </c:pt>
                <c:pt idx="58">
                  <c:v>693</c:v>
                </c:pt>
                <c:pt idx="59">
                  <c:v>690</c:v>
                </c:pt>
                <c:pt idx="60">
                  <c:v>729</c:v>
                </c:pt>
                <c:pt idx="61">
                  <c:v>741</c:v>
                </c:pt>
                <c:pt idx="62">
                  <c:v>745</c:v>
                </c:pt>
                <c:pt idx="63">
                  <c:v>755</c:v>
                </c:pt>
                <c:pt idx="64">
                  <c:v>757</c:v>
                </c:pt>
                <c:pt idx="65">
                  <c:v>752</c:v>
                </c:pt>
                <c:pt idx="66">
                  <c:v>747</c:v>
                </c:pt>
                <c:pt idx="67">
                  <c:v>791</c:v>
                </c:pt>
                <c:pt idx="68">
                  <c:v>804</c:v>
                </c:pt>
                <c:pt idx="69">
                  <c:v>808</c:v>
                </c:pt>
              </c:numCache>
            </c:numRef>
          </c:val>
          <c:smooth val="0"/>
          <c:extLst>
            <c:ext xmlns:c16="http://schemas.microsoft.com/office/drawing/2014/chart" uri="{C3380CC4-5D6E-409C-BE32-E72D297353CC}">
              <c16:uniqueId val="{00000001-88F3-41FF-B692-2A519221DCB3}"/>
            </c:ext>
          </c:extLst>
        </c:ser>
        <c:dLbls>
          <c:showLegendKey val="0"/>
          <c:showVal val="0"/>
          <c:showCatName val="0"/>
          <c:showSerName val="0"/>
          <c:showPercent val="0"/>
          <c:showBubbleSize val="0"/>
        </c:dLbls>
        <c:marker val="1"/>
        <c:smooth val="0"/>
        <c:axId val="353325056"/>
        <c:axId val="353326592"/>
      </c:lineChart>
      <c:scatterChart>
        <c:scatterStyle val="lineMarker"/>
        <c:varyColors val="0"/>
        <c:ser>
          <c:idx val="2"/>
          <c:order val="2"/>
          <c:tx>
            <c:strRef>
              <c:f>'Grafische Darstellung'!$AR$2</c:f>
              <c:strCache>
                <c:ptCount val="1"/>
                <c:pt idx="0">
                  <c:v>Höchster Peak (Normalstation)</c:v>
                </c:pt>
              </c:strCache>
            </c:strRef>
          </c:tx>
          <c:spPr>
            <a:ln w="25400" cap="rnd">
              <a:noFill/>
              <a:round/>
            </a:ln>
            <a:effectLst/>
          </c:spPr>
          <c:marker>
            <c:symbol val="diamond"/>
            <c:size val="10"/>
            <c:spPr>
              <a:solidFill>
                <a:srgbClr val="FF0000"/>
              </a:solidFill>
              <a:ln w="9525">
                <a:noFill/>
              </a:ln>
              <a:effectLst/>
            </c:spPr>
          </c:marker>
          <c:dLbls>
            <c:dLbl>
              <c:idx val="0"/>
              <c:tx>
                <c:rich>
                  <a:bodyPr/>
                  <a:lstStyle/>
                  <a:p>
                    <a:fld id="{6689D5B4-EB64-469A-B28B-585AAE265208}" type="CELLRANGE">
                      <a:rPr lang="en-US"/>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88F3-41FF-B692-2A519221DCB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'Grafische Darstellung'!$AS$19</c:f>
              <c:numCache>
                <c:formatCode>m/d/yyyy</c:formatCode>
                <c:ptCount val="1"/>
                <c:pt idx="0">
                  <c:v>44370</c:v>
                </c:pt>
              </c:numCache>
            </c:numRef>
          </c:xVal>
          <c:yVal>
            <c:numRef>
              <c:f>'Grafische Darstellung'!$AS$18</c:f>
              <c:numCache>
                <c:formatCode>#,##0</c:formatCode>
                <c:ptCount val="1"/>
                <c:pt idx="0">
                  <c:v>1836.9</c:v>
                </c:pt>
              </c:numCache>
            </c:numRef>
          </c:yVal>
          <c:smooth val="0"/>
          <c:extLst>
            <c:ext xmlns:c15="http://schemas.microsoft.com/office/drawing/2012/chart" uri="{02D57815-91ED-43cb-92C2-25804820EDAC}">
              <c15:datalabelsRange>
                <c15:f>'Grafische Darstellung'!$AU$18</c15:f>
                <c15:dlblRangeCache>
                  <c:ptCount val="1"/>
                  <c:pt idx="0">
                    <c:v>Peak: 1.837 am 23.06</c:v>
                  </c:pt>
                </c15:dlblRangeCache>
              </c15:datalabelsRange>
            </c:ext>
            <c:ext xmlns:c16="http://schemas.microsoft.com/office/drawing/2014/chart" uri="{C3380CC4-5D6E-409C-BE32-E72D297353CC}">
              <c16:uniqueId val="{00000003-88F3-41FF-B692-2A519221DCB3}"/>
            </c:ext>
          </c:extLst>
        </c:ser>
        <c:ser>
          <c:idx val="3"/>
          <c:order val="3"/>
          <c:tx>
            <c:strRef>
              <c:f>'Grafische Darstellung'!$AR$6</c:f>
              <c:strCache>
                <c:ptCount val="1"/>
                <c:pt idx="0">
                  <c:v>Höchster Peak (Intensivstation)</c:v>
                </c:pt>
              </c:strCache>
            </c:strRef>
          </c:tx>
          <c:spPr>
            <a:ln w="25400" cap="rnd">
              <a:noFill/>
              <a:round/>
            </a:ln>
            <a:effectLst/>
          </c:spPr>
          <c:marker>
            <c:symbol val="diamond"/>
            <c:size val="10"/>
            <c:spPr>
              <a:solidFill>
                <a:schemeClr val="accent4"/>
              </a:solidFill>
              <a:ln w="9525">
                <a:solidFill>
                  <a:schemeClr val="accent4"/>
                </a:solidFill>
              </a:ln>
              <a:effectLst/>
            </c:spPr>
          </c:marker>
          <c:dLbls>
            <c:dLbl>
              <c:idx val="0"/>
              <c:tx>
                <c:rich>
                  <a:bodyPr/>
                  <a:lstStyle/>
                  <a:p>
                    <a:fld id="{47255436-5D2D-4E72-9CC4-AB99AB911763}" type="CELLRANGE">
                      <a:rPr lang="en-US"/>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88F3-41FF-B692-2A519221DCB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'Grafische Darstellung'!$AS$23</c:f>
              <c:numCache>
                <c:formatCode>m/d/yyyy</c:formatCode>
                <c:ptCount val="1"/>
                <c:pt idx="0">
                  <c:v>44370</c:v>
                </c:pt>
              </c:numCache>
            </c:numRef>
          </c:xVal>
          <c:yVal>
            <c:numRef>
              <c:f>'Grafische Darstellung'!$AS$22</c:f>
              <c:numCache>
                <c:formatCode>General</c:formatCode>
                <c:ptCount val="1"/>
                <c:pt idx="0">
                  <c:v>808</c:v>
                </c:pt>
              </c:numCache>
            </c:numRef>
          </c:yVal>
          <c:smooth val="0"/>
          <c:extLst>
            <c:ext xmlns:c15="http://schemas.microsoft.com/office/drawing/2012/chart" uri="{02D57815-91ED-43cb-92C2-25804820EDAC}">
              <c15:datalabelsRange>
                <c15:f>'Grafische Darstellung'!$AU$22</c15:f>
                <c15:dlblRangeCache>
                  <c:ptCount val="1"/>
                  <c:pt idx="0">
                    <c:v>Peak: 808 am 23.06</c:v>
                  </c:pt>
                </c15:dlblRangeCache>
              </c15:datalabelsRange>
            </c:ext>
            <c:ext xmlns:c16="http://schemas.microsoft.com/office/drawing/2014/chart" uri="{C3380CC4-5D6E-409C-BE32-E72D297353CC}">
              <c16:uniqueId val="{00000005-88F3-41FF-B692-2A519221DCB3}"/>
            </c:ext>
          </c:extLst>
        </c:ser>
        <c:dLbls>
          <c:showLegendKey val="0"/>
          <c:showVal val="0"/>
          <c:showCatName val="0"/>
          <c:showSerName val="0"/>
          <c:showPercent val="0"/>
          <c:showBubbleSize val="0"/>
        </c:dLbls>
        <c:axId val="353338112"/>
        <c:axId val="353328128"/>
      </c:scatterChart>
      <c:dateAx>
        <c:axId val="353325056"/>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53326592"/>
        <c:crosses val="autoZero"/>
        <c:auto val="1"/>
        <c:lblOffset val="100"/>
        <c:baseTimeUnit val="days"/>
      </c:dateAx>
      <c:valAx>
        <c:axId val="353326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53325056"/>
        <c:crosses val="autoZero"/>
        <c:crossBetween val="between"/>
      </c:valAx>
      <c:valAx>
        <c:axId val="353328128"/>
        <c:scaling>
          <c:orientation val="minMax"/>
        </c:scaling>
        <c:delete val="1"/>
        <c:axPos val="r"/>
        <c:numFmt formatCode="#,##0" sourceLinked="1"/>
        <c:majorTickMark val="out"/>
        <c:minorTickMark val="none"/>
        <c:tickLblPos val="nextTo"/>
        <c:crossAx val="353338112"/>
        <c:crosses val="max"/>
        <c:crossBetween val="midCat"/>
      </c:valAx>
      <c:valAx>
        <c:axId val="353338112"/>
        <c:scaling>
          <c:orientation val="minMax"/>
        </c:scaling>
        <c:delete val="1"/>
        <c:axPos val="b"/>
        <c:numFmt formatCode="m/d/yyyy" sourceLinked="1"/>
        <c:majorTickMark val="out"/>
        <c:minorTickMark val="none"/>
        <c:tickLblPos val="nextTo"/>
        <c:crossAx val="353328128"/>
        <c:crosses val="autoZero"/>
        <c:crossBetween val="midCat"/>
      </c:valAx>
      <c:spPr>
        <a:noFill/>
        <a:ln>
          <a:noFill/>
        </a:ln>
        <a:effectLst/>
      </c:spPr>
    </c:plotArea>
    <c:legend>
      <c:legendPos val="b"/>
      <c:legendEntry>
        <c:idx val="2"/>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a:t>Benötigte Masken (Intensivstation), Pro Tag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barChart>
        <c:barDir val="col"/>
        <c:grouping val="clustered"/>
        <c:varyColors val="0"/>
        <c:ser>
          <c:idx val="0"/>
          <c:order val="0"/>
          <c:tx>
            <c:v>Pro Tag</c:v>
          </c:tx>
          <c:spPr>
            <a:solidFill>
              <a:schemeClr val="accent1">
                <a:lumMod val="75000"/>
                <a:lumOff val="25000"/>
              </a:schemeClr>
            </a:solidFill>
            <a:ln>
              <a:noFill/>
            </a:ln>
            <a:effectLst/>
          </c:spPr>
          <c:invertIfNegative val="0"/>
          <c:cat>
            <c:numRef>
              <c:f>Prognoseergebnis!$C$66:$C$135</c:f>
              <c:numCache>
                <c:formatCode>m/d/yyyy</c:formatCode>
                <c:ptCount val="70"/>
                <c:pt idx="0">
                  <c:v>44301</c:v>
                </c:pt>
                <c:pt idx="1">
                  <c:v>44302</c:v>
                </c:pt>
                <c:pt idx="2">
                  <c:v>44303</c:v>
                </c:pt>
                <c:pt idx="3">
                  <c:v>44304</c:v>
                </c:pt>
                <c:pt idx="4">
                  <c:v>44305</c:v>
                </c:pt>
                <c:pt idx="5">
                  <c:v>44306</c:v>
                </c:pt>
                <c:pt idx="6">
                  <c:v>44307</c:v>
                </c:pt>
                <c:pt idx="7">
                  <c:v>44308</c:v>
                </c:pt>
                <c:pt idx="8">
                  <c:v>44309</c:v>
                </c:pt>
                <c:pt idx="9">
                  <c:v>44310</c:v>
                </c:pt>
                <c:pt idx="10">
                  <c:v>44311</c:v>
                </c:pt>
                <c:pt idx="11">
                  <c:v>44312</c:v>
                </c:pt>
                <c:pt idx="12">
                  <c:v>44313</c:v>
                </c:pt>
                <c:pt idx="13">
                  <c:v>44314</c:v>
                </c:pt>
                <c:pt idx="14">
                  <c:v>44315</c:v>
                </c:pt>
                <c:pt idx="15">
                  <c:v>44316</c:v>
                </c:pt>
                <c:pt idx="16">
                  <c:v>44317</c:v>
                </c:pt>
                <c:pt idx="17">
                  <c:v>44318</c:v>
                </c:pt>
                <c:pt idx="18">
                  <c:v>44319</c:v>
                </c:pt>
                <c:pt idx="19">
                  <c:v>44320</c:v>
                </c:pt>
                <c:pt idx="20">
                  <c:v>44321</c:v>
                </c:pt>
                <c:pt idx="21">
                  <c:v>44322</c:v>
                </c:pt>
                <c:pt idx="22">
                  <c:v>44323</c:v>
                </c:pt>
                <c:pt idx="23">
                  <c:v>44324</c:v>
                </c:pt>
                <c:pt idx="24">
                  <c:v>44325</c:v>
                </c:pt>
                <c:pt idx="25">
                  <c:v>44326</c:v>
                </c:pt>
                <c:pt idx="26">
                  <c:v>44327</c:v>
                </c:pt>
                <c:pt idx="27">
                  <c:v>44328</c:v>
                </c:pt>
                <c:pt idx="28">
                  <c:v>44329</c:v>
                </c:pt>
                <c:pt idx="29">
                  <c:v>44330</c:v>
                </c:pt>
                <c:pt idx="30">
                  <c:v>44331</c:v>
                </c:pt>
                <c:pt idx="31">
                  <c:v>44332</c:v>
                </c:pt>
                <c:pt idx="32">
                  <c:v>44333</c:v>
                </c:pt>
                <c:pt idx="33">
                  <c:v>44334</c:v>
                </c:pt>
                <c:pt idx="34">
                  <c:v>44335</c:v>
                </c:pt>
                <c:pt idx="35">
                  <c:v>44336</c:v>
                </c:pt>
                <c:pt idx="36">
                  <c:v>44337</c:v>
                </c:pt>
                <c:pt idx="37">
                  <c:v>44338</c:v>
                </c:pt>
                <c:pt idx="38">
                  <c:v>44339</c:v>
                </c:pt>
                <c:pt idx="39">
                  <c:v>44340</c:v>
                </c:pt>
                <c:pt idx="40">
                  <c:v>44341</c:v>
                </c:pt>
                <c:pt idx="41">
                  <c:v>44342</c:v>
                </c:pt>
                <c:pt idx="42">
                  <c:v>44343</c:v>
                </c:pt>
                <c:pt idx="43">
                  <c:v>44344</c:v>
                </c:pt>
                <c:pt idx="44">
                  <c:v>44345</c:v>
                </c:pt>
                <c:pt idx="45">
                  <c:v>44346</c:v>
                </c:pt>
                <c:pt idx="46">
                  <c:v>44347</c:v>
                </c:pt>
                <c:pt idx="47">
                  <c:v>44348</c:v>
                </c:pt>
                <c:pt idx="48">
                  <c:v>44349</c:v>
                </c:pt>
                <c:pt idx="49">
                  <c:v>44350</c:v>
                </c:pt>
                <c:pt idx="50">
                  <c:v>44351</c:v>
                </c:pt>
                <c:pt idx="51">
                  <c:v>44352</c:v>
                </c:pt>
                <c:pt idx="52">
                  <c:v>44353</c:v>
                </c:pt>
                <c:pt idx="53">
                  <c:v>44354</c:v>
                </c:pt>
                <c:pt idx="54">
                  <c:v>44355</c:v>
                </c:pt>
                <c:pt idx="55">
                  <c:v>44356</c:v>
                </c:pt>
                <c:pt idx="56">
                  <c:v>44357</c:v>
                </c:pt>
                <c:pt idx="57">
                  <c:v>44358</c:v>
                </c:pt>
                <c:pt idx="58">
                  <c:v>44359</c:v>
                </c:pt>
                <c:pt idx="59">
                  <c:v>44360</c:v>
                </c:pt>
                <c:pt idx="60">
                  <c:v>44361</c:v>
                </c:pt>
                <c:pt idx="61">
                  <c:v>44362</c:v>
                </c:pt>
                <c:pt idx="62">
                  <c:v>44363</c:v>
                </c:pt>
                <c:pt idx="63">
                  <c:v>44364</c:v>
                </c:pt>
                <c:pt idx="64">
                  <c:v>44365</c:v>
                </c:pt>
                <c:pt idx="65">
                  <c:v>44366</c:v>
                </c:pt>
                <c:pt idx="66">
                  <c:v>44367</c:v>
                </c:pt>
                <c:pt idx="67">
                  <c:v>44368</c:v>
                </c:pt>
                <c:pt idx="68">
                  <c:v>44369</c:v>
                </c:pt>
                <c:pt idx="69">
                  <c:v>44370</c:v>
                </c:pt>
              </c:numCache>
            </c:numRef>
          </c:cat>
          <c:val>
            <c:numRef>
              <c:f>Prognoseergebnis!$K$66:$K$135</c:f>
              <c:numCache>
                <c:formatCode>#,##0</c:formatCode>
                <c:ptCount val="70"/>
                <c:pt idx="0">
                  <c:v>6480</c:v>
                </c:pt>
                <c:pt idx="1">
                  <c:v>6600</c:v>
                </c:pt>
                <c:pt idx="2">
                  <c:v>6700</c:v>
                </c:pt>
                <c:pt idx="3">
                  <c:v>6660</c:v>
                </c:pt>
                <c:pt idx="4">
                  <c:v>7060</c:v>
                </c:pt>
                <c:pt idx="5">
                  <c:v>7340</c:v>
                </c:pt>
                <c:pt idx="6">
                  <c:v>7300</c:v>
                </c:pt>
                <c:pt idx="7">
                  <c:v>7400</c:v>
                </c:pt>
                <c:pt idx="8">
                  <c:v>7400</c:v>
                </c:pt>
                <c:pt idx="9">
                  <c:v>7260</c:v>
                </c:pt>
                <c:pt idx="10">
                  <c:v>7180</c:v>
                </c:pt>
                <c:pt idx="11">
                  <c:v>7560</c:v>
                </c:pt>
                <c:pt idx="12">
                  <c:v>7620</c:v>
                </c:pt>
                <c:pt idx="13">
                  <c:v>7760</c:v>
                </c:pt>
                <c:pt idx="14">
                  <c:v>8080</c:v>
                </c:pt>
                <c:pt idx="15">
                  <c:v>8020</c:v>
                </c:pt>
                <c:pt idx="16">
                  <c:v>7880</c:v>
                </c:pt>
                <c:pt idx="17">
                  <c:v>7840</c:v>
                </c:pt>
                <c:pt idx="18">
                  <c:v>8300</c:v>
                </c:pt>
                <c:pt idx="19">
                  <c:v>8420</c:v>
                </c:pt>
                <c:pt idx="20">
                  <c:v>8540</c:v>
                </c:pt>
                <c:pt idx="21">
                  <c:v>8680</c:v>
                </c:pt>
                <c:pt idx="22">
                  <c:v>8640</c:v>
                </c:pt>
                <c:pt idx="23">
                  <c:v>8560</c:v>
                </c:pt>
                <c:pt idx="24">
                  <c:v>8500</c:v>
                </c:pt>
                <c:pt idx="25">
                  <c:v>8980</c:v>
                </c:pt>
                <c:pt idx="26">
                  <c:v>9160</c:v>
                </c:pt>
                <c:pt idx="27">
                  <c:v>9220</c:v>
                </c:pt>
                <c:pt idx="28">
                  <c:v>9320</c:v>
                </c:pt>
                <c:pt idx="29">
                  <c:v>9340</c:v>
                </c:pt>
                <c:pt idx="30">
                  <c:v>9280</c:v>
                </c:pt>
                <c:pt idx="31">
                  <c:v>9240</c:v>
                </c:pt>
                <c:pt idx="32">
                  <c:v>9760</c:v>
                </c:pt>
                <c:pt idx="33">
                  <c:v>9900</c:v>
                </c:pt>
                <c:pt idx="34">
                  <c:v>9960</c:v>
                </c:pt>
                <c:pt idx="35">
                  <c:v>10100</c:v>
                </c:pt>
                <c:pt idx="36">
                  <c:v>10120</c:v>
                </c:pt>
                <c:pt idx="37">
                  <c:v>10060</c:v>
                </c:pt>
                <c:pt idx="38">
                  <c:v>10000</c:v>
                </c:pt>
                <c:pt idx="39">
                  <c:v>10560</c:v>
                </c:pt>
                <c:pt idx="40">
                  <c:v>10740</c:v>
                </c:pt>
                <c:pt idx="41">
                  <c:v>10800</c:v>
                </c:pt>
                <c:pt idx="42">
                  <c:v>10940</c:v>
                </c:pt>
                <c:pt idx="43">
                  <c:v>10960</c:v>
                </c:pt>
                <c:pt idx="44">
                  <c:v>10880</c:v>
                </c:pt>
                <c:pt idx="45">
                  <c:v>10820</c:v>
                </c:pt>
                <c:pt idx="46">
                  <c:v>11440</c:v>
                </c:pt>
                <c:pt idx="47">
                  <c:v>11620</c:v>
                </c:pt>
                <c:pt idx="48">
                  <c:v>11700</c:v>
                </c:pt>
                <c:pt idx="49">
                  <c:v>11840</c:v>
                </c:pt>
                <c:pt idx="50">
                  <c:v>11860</c:v>
                </c:pt>
                <c:pt idx="51">
                  <c:v>11780</c:v>
                </c:pt>
                <c:pt idx="52">
                  <c:v>11720</c:v>
                </c:pt>
                <c:pt idx="53">
                  <c:v>12380</c:v>
                </c:pt>
                <c:pt idx="54">
                  <c:v>12600</c:v>
                </c:pt>
                <c:pt idx="55">
                  <c:v>12660</c:v>
                </c:pt>
                <c:pt idx="56">
                  <c:v>12820</c:v>
                </c:pt>
                <c:pt idx="57">
                  <c:v>12860</c:v>
                </c:pt>
                <c:pt idx="58">
                  <c:v>12760</c:v>
                </c:pt>
                <c:pt idx="59">
                  <c:v>12700</c:v>
                </c:pt>
                <c:pt idx="60">
                  <c:v>13420</c:v>
                </c:pt>
                <c:pt idx="61">
                  <c:v>13640</c:v>
                </c:pt>
                <c:pt idx="62">
                  <c:v>13720</c:v>
                </c:pt>
                <c:pt idx="63">
                  <c:v>13900</c:v>
                </c:pt>
                <c:pt idx="64">
                  <c:v>13940</c:v>
                </c:pt>
                <c:pt idx="65">
                  <c:v>13840</c:v>
                </c:pt>
                <c:pt idx="66">
                  <c:v>13760</c:v>
                </c:pt>
                <c:pt idx="67">
                  <c:v>14560</c:v>
                </c:pt>
                <c:pt idx="68">
                  <c:v>14800</c:v>
                </c:pt>
                <c:pt idx="69">
                  <c:v>14880</c:v>
                </c:pt>
              </c:numCache>
            </c:numRef>
          </c:val>
          <c:extLst>
            <c:ext xmlns:c16="http://schemas.microsoft.com/office/drawing/2014/chart" uri="{C3380CC4-5D6E-409C-BE32-E72D297353CC}">
              <c16:uniqueId val="{00000001-343F-4E6B-8B4B-4056EFD03829}"/>
            </c:ext>
          </c:extLst>
        </c:ser>
        <c:dLbls>
          <c:showLegendKey val="0"/>
          <c:showVal val="0"/>
          <c:showCatName val="0"/>
          <c:showSerName val="0"/>
          <c:showPercent val="0"/>
          <c:showBubbleSize val="0"/>
        </c:dLbls>
        <c:gapWidth val="219"/>
        <c:overlap val="-27"/>
        <c:axId val="353363840"/>
        <c:axId val="353370112"/>
      </c:barChart>
      <c:dateAx>
        <c:axId val="35336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de-DE"/>
                  <a:t>Zeitverlauf</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53370112"/>
        <c:crosses val="autoZero"/>
        <c:auto val="1"/>
        <c:lblOffset val="100"/>
        <c:baseTimeUnit val="days"/>
      </c:dateAx>
      <c:valAx>
        <c:axId val="353370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53363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a:t>Anzahl</a:t>
            </a:r>
            <a:r>
              <a:rPr lang="de-DE" baseline="0"/>
              <a:t> Infektionen</a:t>
            </a:r>
            <a:r>
              <a:rPr lang="de-DE"/>
              <a:t>, kumulierte Fälle im Einzugsgebiet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areaChart>
        <c:grouping val="standard"/>
        <c:varyColors val="0"/>
        <c:ser>
          <c:idx val="0"/>
          <c:order val="0"/>
          <c:tx>
            <c:strRef>
              <c:f>Prognoseergebnis!$D$66</c:f>
              <c:strCache>
                <c:ptCount val="1"/>
                <c:pt idx="0">
                  <c:v>630.078</c:v>
                </c:pt>
              </c:strCache>
            </c:strRef>
          </c:tx>
          <c:spPr>
            <a:solidFill>
              <a:schemeClr val="accent4">
                <a:lumMod val="20000"/>
                <a:lumOff val="80000"/>
              </a:schemeClr>
            </a:solidFill>
            <a:ln>
              <a:noFill/>
            </a:ln>
            <a:effectLst/>
          </c:spPr>
          <c:cat>
            <c:numRef>
              <c:f>Prognoseergebnis!$C$66:$C$135</c:f>
              <c:numCache>
                <c:formatCode>m/d/yyyy</c:formatCode>
                <c:ptCount val="70"/>
                <c:pt idx="0">
                  <c:v>44301</c:v>
                </c:pt>
                <c:pt idx="1">
                  <c:v>44302</c:v>
                </c:pt>
                <c:pt idx="2">
                  <c:v>44303</c:v>
                </c:pt>
                <c:pt idx="3">
                  <c:v>44304</c:v>
                </c:pt>
                <c:pt idx="4">
                  <c:v>44305</c:v>
                </c:pt>
                <c:pt idx="5">
                  <c:v>44306</c:v>
                </c:pt>
                <c:pt idx="6">
                  <c:v>44307</c:v>
                </c:pt>
                <c:pt idx="7">
                  <c:v>44308</c:v>
                </c:pt>
                <c:pt idx="8">
                  <c:v>44309</c:v>
                </c:pt>
                <c:pt idx="9">
                  <c:v>44310</c:v>
                </c:pt>
                <c:pt idx="10">
                  <c:v>44311</c:v>
                </c:pt>
                <c:pt idx="11">
                  <c:v>44312</c:v>
                </c:pt>
                <c:pt idx="12">
                  <c:v>44313</c:v>
                </c:pt>
                <c:pt idx="13">
                  <c:v>44314</c:v>
                </c:pt>
                <c:pt idx="14">
                  <c:v>44315</c:v>
                </c:pt>
                <c:pt idx="15">
                  <c:v>44316</c:v>
                </c:pt>
                <c:pt idx="16">
                  <c:v>44317</c:v>
                </c:pt>
                <c:pt idx="17">
                  <c:v>44318</c:v>
                </c:pt>
                <c:pt idx="18">
                  <c:v>44319</c:v>
                </c:pt>
                <c:pt idx="19">
                  <c:v>44320</c:v>
                </c:pt>
                <c:pt idx="20">
                  <c:v>44321</c:v>
                </c:pt>
                <c:pt idx="21">
                  <c:v>44322</c:v>
                </c:pt>
                <c:pt idx="22">
                  <c:v>44323</c:v>
                </c:pt>
                <c:pt idx="23">
                  <c:v>44324</c:v>
                </c:pt>
                <c:pt idx="24">
                  <c:v>44325</c:v>
                </c:pt>
                <c:pt idx="25">
                  <c:v>44326</c:v>
                </c:pt>
                <c:pt idx="26">
                  <c:v>44327</c:v>
                </c:pt>
                <c:pt idx="27">
                  <c:v>44328</c:v>
                </c:pt>
                <c:pt idx="28">
                  <c:v>44329</c:v>
                </c:pt>
                <c:pt idx="29">
                  <c:v>44330</c:v>
                </c:pt>
                <c:pt idx="30">
                  <c:v>44331</c:v>
                </c:pt>
                <c:pt idx="31">
                  <c:v>44332</c:v>
                </c:pt>
                <c:pt idx="32">
                  <c:v>44333</c:v>
                </c:pt>
                <c:pt idx="33">
                  <c:v>44334</c:v>
                </c:pt>
                <c:pt idx="34">
                  <c:v>44335</c:v>
                </c:pt>
                <c:pt idx="35">
                  <c:v>44336</c:v>
                </c:pt>
                <c:pt idx="36">
                  <c:v>44337</c:v>
                </c:pt>
                <c:pt idx="37">
                  <c:v>44338</c:v>
                </c:pt>
                <c:pt idx="38">
                  <c:v>44339</c:v>
                </c:pt>
                <c:pt idx="39">
                  <c:v>44340</c:v>
                </c:pt>
                <c:pt idx="40">
                  <c:v>44341</c:v>
                </c:pt>
                <c:pt idx="41">
                  <c:v>44342</c:v>
                </c:pt>
                <c:pt idx="42">
                  <c:v>44343</c:v>
                </c:pt>
                <c:pt idx="43">
                  <c:v>44344</c:v>
                </c:pt>
                <c:pt idx="44">
                  <c:v>44345</c:v>
                </c:pt>
                <c:pt idx="45">
                  <c:v>44346</c:v>
                </c:pt>
                <c:pt idx="46">
                  <c:v>44347</c:v>
                </c:pt>
                <c:pt idx="47">
                  <c:v>44348</c:v>
                </c:pt>
                <c:pt idx="48">
                  <c:v>44349</c:v>
                </c:pt>
                <c:pt idx="49">
                  <c:v>44350</c:v>
                </c:pt>
                <c:pt idx="50">
                  <c:v>44351</c:v>
                </c:pt>
                <c:pt idx="51">
                  <c:v>44352</c:v>
                </c:pt>
                <c:pt idx="52">
                  <c:v>44353</c:v>
                </c:pt>
                <c:pt idx="53">
                  <c:v>44354</c:v>
                </c:pt>
                <c:pt idx="54">
                  <c:v>44355</c:v>
                </c:pt>
                <c:pt idx="55">
                  <c:v>44356</c:v>
                </c:pt>
                <c:pt idx="56">
                  <c:v>44357</c:v>
                </c:pt>
                <c:pt idx="57">
                  <c:v>44358</c:v>
                </c:pt>
                <c:pt idx="58">
                  <c:v>44359</c:v>
                </c:pt>
                <c:pt idx="59">
                  <c:v>44360</c:v>
                </c:pt>
                <c:pt idx="60">
                  <c:v>44361</c:v>
                </c:pt>
                <c:pt idx="61">
                  <c:v>44362</c:v>
                </c:pt>
                <c:pt idx="62">
                  <c:v>44363</c:v>
                </c:pt>
                <c:pt idx="63">
                  <c:v>44364</c:v>
                </c:pt>
                <c:pt idx="64">
                  <c:v>44365</c:v>
                </c:pt>
                <c:pt idx="65">
                  <c:v>44366</c:v>
                </c:pt>
                <c:pt idx="66">
                  <c:v>44367</c:v>
                </c:pt>
                <c:pt idx="67">
                  <c:v>44368</c:v>
                </c:pt>
                <c:pt idx="68">
                  <c:v>44369</c:v>
                </c:pt>
                <c:pt idx="69">
                  <c:v>44370</c:v>
                </c:pt>
              </c:numCache>
            </c:numRef>
          </c:cat>
          <c:val>
            <c:numRef>
              <c:f>Prognoseergebnis!$D$66:$D$135</c:f>
              <c:numCache>
                <c:formatCode>#,##0</c:formatCode>
                <c:ptCount val="70"/>
                <c:pt idx="0">
                  <c:v>630077.85586232133</c:v>
                </c:pt>
                <c:pt idx="1">
                  <c:v>632585.93722136202</c:v>
                </c:pt>
                <c:pt idx="2">
                  <c:v>634259.42339997564</c:v>
                </c:pt>
                <c:pt idx="3">
                  <c:v>635454.19622795959</c:v>
                </c:pt>
                <c:pt idx="4">
                  <c:v>638236.27349041251</c:v>
                </c:pt>
                <c:pt idx="5">
                  <c:v>640793.66108976188</c:v>
                </c:pt>
                <c:pt idx="6">
                  <c:v>643230.79069662816</c:v>
                </c:pt>
                <c:pt idx="7">
                  <c:v>646121.10626021889</c:v>
                </c:pt>
                <c:pt idx="8">
                  <c:v>648585.59382655402</c:v>
                </c:pt>
                <c:pt idx="9">
                  <c:v>650361.0116871536</c:v>
                </c:pt>
                <c:pt idx="10">
                  <c:v>651704.89418707194</c:v>
                </c:pt>
                <c:pt idx="11">
                  <c:v>654563.6534442486</c:v>
                </c:pt>
                <c:pt idx="12">
                  <c:v>657601.38436643837</c:v>
                </c:pt>
                <c:pt idx="13">
                  <c:v>660505.03164273559</c:v>
                </c:pt>
                <c:pt idx="14">
                  <c:v>663394.02280734421</c:v>
                </c:pt>
                <c:pt idx="15">
                  <c:v>665886.34396251757</c:v>
                </c:pt>
                <c:pt idx="16">
                  <c:v>667789.29432840715</c:v>
                </c:pt>
                <c:pt idx="17">
                  <c:v>669250.71591718344</c:v>
                </c:pt>
                <c:pt idx="18">
                  <c:v>672474.30574434716</c:v>
                </c:pt>
                <c:pt idx="19">
                  <c:v>675850.88985992048</c:v>
                </c:pt>
                <c:pt idx="20">
                  <c:v>678926.94742840249</c:v>
                </c:pt>
                <c:pt idx="21">
                  <c:v>681986.57613895123</c:v>
                </c:pt>
                <c:pt idx="22">
                  <c:v>684703.67499313422</c:v>
                </c:pt>
                <c:pt idx="23">
                  <c:v>686774.33091189479</c:v>
                </c:pt>
                <c:pt idx="24">
                  <c:v>688340.84483026934</c:v>
                </c:pt>
                <c:pt idx="25">
                  <c:v>691832.8757799865</c:v>
                </c:pt>
                <c:pt idx="26">
                  <c:v>695462.09736399632</c:v>
                </c:pt>
                <c:pt idx="27">
                  <c:v>698786.81683227979</c:v>
                </c:pt>
                <c:pt idx="28">
                  <c:v>702148.43531905871</c:v>
                </c:pt>
                <c:pt idx="29">
                  <c:v>705108.66401556204</c:v>
                </c:pt>
                <c:pt idx="30">
                  <c:v>707330.51229731005</c:v>
                </c:pt>
                <c:pt idx="31">
                  <c:v>709009.17514893808</c:v>
                </c:pt>
                <c:pt idx="32">
                  <c:v>712778.29389988538</c:v>
                </c:pt>
                <c:pt idx="33">
                  <c:v>716714.59026600688</c:v>
                </c:pt>
                <c:pt idx="34">
                  <c:v>720334.5328155217</c:v>
                </c:pt>
                <c:pt idx="35">
                  <c:v>723987.802383192</c:v>
                </c:pt>
                <c:pt idx="36">
                  <c:v>727181.99163863261</c:v>
                </c:pt>
                <c:pt idx="37">
                  <c:v>729579.3484356337</c:v>
                </c:pt>
                <c:pt idx="38">
                  <c:v>731397.59045666514</c:v>
                </c:pt>
                <c:pt idx="39">
                  <c:v>735480.86535876791</c:v>
                </c:pt>
                <c:pt idx="40">
                  <c:v>739743.91890564526</c:v>
                </c:pt>
                <c:pt idx="41">
                  <c:v>743661.4668443501</c:v>
                </c:pt>
                <c:pt idx="42">
                  <c:v>747613.44080636872</c:v>
                </c:pt>
                <c:pt idx="43">
                  <c:v>751073.34064916987</c:v>
                </c:pt>
                <c:pt idx="44">
                  <c:v>753674.47975995613</c:v>
                </c:pt>
                <c:pt idx="45">
                  <c:v>755645.70301437459</c:v>
                </c:pt>
                <c:pt idx="46">
                  <c:v>760063.74366858986</c:v>
                </c:pt>
                <c:pt idx="47">
                  <c:v>764675.58097462845</c:v>
                </c:pt>
                <c:pt idx="48">
                  <c:v>768917.15989480237</c:v>
                </c:pt>
                <c:pt idx="49">
                  <c:v>773200.43920849531</c:v>
                </c:pt>
                <c:pt idx="50">
                  <c:v>776953.08919639944</c:v>
                </c:pt>
                <c:pt idx="51">
                  <c:v>779772.8796394841</c:v>
                </c:pt>
                <c:pt idx="52">
                  <c:v>781908.01650585036</c:v>
                </c:pt>
                <c:pt idx="53">
                  <c:v>786693.47691977315</c:v>
                </c:pt>
                <c:pt idx="54">
                  <c:v>791691.48883495934</c:v>
                </c:pt>
                <c:pt idx="55">
                  <c:v>796289.60892139247</c:v>
                </c:pt>
                <c:pt idx="56">
                  <c:v>800932.87541815022</c:v>
                </c:pt>
                <c:pt idx="57">
                  <c:v>805000.53980529972</c:v>
                </c:pt>
                <c:pt idx="58">
                  <c:v>808056.94263823854</c:v>
                </c:pt>
                <c:pt idx="59">
                  <c:v>810371.86492067936</c:v>
                </c:pt>
                <c:pt idx="60">
                  <c:v>815561.79198183725</c:v>
                </c:pt>
                <c:pt idx="61">
                  <c:v>820981.94412390003</c:v>
                </c:pt>
                <c:pt idx="62">
                  <c:v>825967.59370199917</c:v>
                </c:pt>
                <c:pt idx="63">
                  <c:v>831002.15449710225</c:v>
                </c:pt>
                <c:pt idx="64">
                  <c:v>835413.38957738178</c:v>
                </c:pt>
                <c:pt idx="65">
                  <c:v>838728.76383526367</c:v>
                </c:pt>
                <c:pt idx="66">
                  <c:v>841240.216835976</c:v>
                </c:pt>
                <c:pt idx="67">
                  <c:v>846870.66688767192</c:v>
                </c:pt>
                <c:pt idx="68">
                  <c:v>852750.52733755193</c:v>
                </c:pt>
                <c:pt idx="69">
                  <c:v>858159.35192059528</c:v>
                </c:pt>
              </c:numCache>
            </c:numRef>
          </c:val>
          <c:extLst>
            <c:ext xmlns:c16="http://schemas.microsoft.com/office/drawing/2014/chart" uri="{C3380CC4-5D6E-409C-BE32-E72D297353CC}">
              <c16:uniqueId val="{00000001-7683-469A-AA08-3CDFA4EF29AA}"/>
            </c:ext>
          </c:extLst>
        </c:ser>
        <c:dLbls>
          <c:showLegendKey val="0"/>
          <c:showVal val="0"/>
          <c:showCatName val="0"/>
          <c:showSerName val="0"/>
          <c:showPercent val="0"/>
          <c:showBubbleSize val="0"/>
        </c:dLbls>
        <c:axId val="353403264"/>
        <c:axId val="353405184"/>
      </c:areaChart>
      <c:dateAx>
        <c:axId val="3534032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de-DE"/>
                  <a:t>Zeitverlauf</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53405184"/>
        <c:crosses val="autoZero"/>
        <c:auto val="1"/>
        <c:lblOffset val="100"/>
        <c:baseTimeUnit val="days"/>
      </c:dateAx>
      <c:valAx>
        <c:axId val="3534051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de-DE"/>
                  <a:t>Kumulierte Fälle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534032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a:t>Mitarbeiterbedarf pro 24h, Ärztlicher Dienst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lineChart>
        <c:grouping val="standard"/>
        <c:varyColors val="0"/>
        <c:ser>
          <c:idx val="0"/>
          <c:order val="0"/>
          <c:tx>
            <c:v>Normalstation</c:v>
          </c:tx>
          <c:spPr>
            <a:ln w="28575" cap="rnd">
              <a:solidFill>
                <a:srgbClr val="FF0000"/>
              </a:solidFill>
              <a:round/>
            </a:ln>
            <a:effectLst/>
          </c:spPr>
          <c:marker>
            <c:symbol val="none"/>
          </c:marker>
          <c:cat>
            <c:numRef>
              <c:f>Prognoseergebnis!$C$66:$C$135</c:f>
              <c:numCache>
                <c:formatCode>m/d/yyyy</c:formatCode>
                <c:ptCount val="70"/>
                <c:pt idx="0">
                  <c:v>44301</c:v>
                </c:pt>
                <c:pt idx="1">
                  <c:v>44302</c:v>
                </c:pt>
                <c:pt idx="2">
                  <c:v>44303</c:v>
                </c:pt>
                <c:pt idx="3">
                  <c:v>44304</c:v>
                </c:pt>
                <c:pt idx="4">
                  <c:v>44305</c:v>
                </c:pt>
                <c:pt idx="5">
                  <c:v>44306</c:v>
                </c:pt>
                <c:pt idx="6">
                  <c:v>44307</c:v>
                </c:pt>
                <c:pt idx="7">
                  <c:v>44308</c:v>
                </c:pt>
                <c:pt idx="8">
                  <c:v>44309</c:v>
                </c:pt>
                <c:pt idx="9">
                  <c:v>44310</c:v>
                </c:pt>
                <c:pt idx="10">
                  <c:v>44311</c:v>
                </c:pt>
                <c:pt idx="11">
                  <c:v>44312</c:v>
                </c:pt>
                <c:pt idx="12">
                  <c:v>44313</c:v>
                </c:pt>
                <c:pt idx="13">
                  <c:v>44314</c:v>
                </c:pt>
                <c:pt idx="14">
                  <c:v>44315</c:v>
                </c:pt>
                <c:pt idx="15">
                  <c:v>44316</c:v>
                </c:pt>
                <c:pt idx="16">
                  <c:v>44317</c:v>
                </c:pt>
                <c:pt idx="17">
                  <c:v>44318</c:v>
                </c:pt>
                <c:pt idx="18">
                  <c:v>44319</c:v>
                </c:pt>
                <c:pt idx="19">
                  <c:v>44320</c:v>
                </c:pt>
                <c:pt idx="20">
                  <c:v>44321</c:v>
                </c:pt>
                <c:pt idx="21">
                  <c:v>44322</c:v>
                </c:pt>
                <c:pt idx="22">
                  <c:v>44323</c:v>
                </c:pt>
                <c:pt idx="23">
                  <c:v>44324</c:v>
                </c:pt>
                <c:pt idx="24">
                  <c:v>44325</c:v>
                </c:pt>
                <c:pt idx="25">
                  <c:v>44326</c:v>
                </c:pt>
                <c:pt idx="26">
                  <c:v>44327</c:v>
                </c:pt>
                <c:pt idx="27">
                  <c:v>44328</c:v>
                </c:pt>
                <c:pt idx="28">
                  <c:v>44329</c:v>
                </c:pt>
                <c:pt idx="29">
                  <c:v>44330</c:v>
                </c:pt>
                <c:pt idx="30">
                  <c:v>44331</c:v>
                </c:pt>
                <c:pt idx="31">
                  <c:v>44332</c:v>
                </c:pt>
                <c:pt idx="32">
                  <c:v>44333</c:v>
                </c:pt>
                <c:pt idx="33">
                  <c:v>44334</c:v>
                </c:pt>
                <c:pt idx="34">
                  <c:v>44335</c:v>
                </c:pt>
                <c:pt idx="35">
                  <c:v>44336</c:v>
                </c:pt>
                <c:pt idx="36">
                  <c:v>44337</c:v>
                </c:pt>
                <c:pt idx="37">
                  <c:v>44338</c:v>
                </c:pt>
                <c:pt idx="38">
                  <c:v>44339</c:v>
                </c:pt>
                <c:pt idx="39">
                  <c:v>44340</c:v>
                </c:pt>
                <c:pt idx="40">
                  <c:v>44341</c:v>
                </c:pt>
                <c:pt idx="41">
                  <c:v>44342</c:v>
                </c:pt>
                <c:pt idx="42">
                  <c:v>44343</c:v>
                </c:pt>
                <c:pt idx="43">
                  <c:v>44344</c:v>
                </c:pt>
                <c:pt idx="44">
                  <c:v>44345</c:v>
                </c:pt>
                <c:pt idx="45">
                  <c:v>44346</c:v>
                </c:pt>
                <c:pt idx="46">
                  <c:v>44347</c:v>
                </c:pt>
                <c:pt idx="47">
                  <c:v>44348</c:v>
                </c:pt>
                <c:pt idx="48">
                  <c:v>44349</c:v>
                </c:pt>
                <c:pt idx="49">
                  <c:v>44350</c:v>
                </c:pt>
                <c:pt idx="50">
                  <c:v>44351</c:v>
                </c:pt>
                <c:pt idx="51">
                  <c:v>44352</c:v>
                </c:pt>
                <c:pt idx="52">
                  <c:v>44353</c:v>
                </c:pt>
                <c:pt idx="53">
                  <c:v>44354</c:v>
                </c:pt>
                <c:pt idx="54">
                  <c:v>44355</c:v>
                </c:pt>
                <c:pt idx="55">
                  <c:v>44356</c:v>
                </c:pt>
                <c:pt idx="56">
                  <c:v>44357</c:v>
                </c:pt>
                <c:pt idx="57">
                  <c:v>44358</c:v>
                </c:pt>
                <c:pt idx="58">
                  <c:v>44359</c:v>
                </c:pt>
                <c:pt idx="59">
                  <c:v>44360</c:v>
                </c:pt>
                <c:pt idx="60">
                  <c:v>44361</c:v>
                </c:pt>
                <c:pt idx="61">
                  <c:v>44362</c:v>
                </c:pt>
                <c:pt idx="62">
                  <c:v>44363</c:v>
                </c:pt>
                <c:pt idx="63">
                  <c:v>44364</c:v>
                </c:pt>
                <c:pt idx="64">
                  <c:v>44365</c:v>
                </c:pt>
                <c:pt idx="65">
                  <c:v>44366</c:v>
                </c:pt>
                <c:pt idx="66">
                  <c:v>44367</c:v>
                </c:pt>
                <c:pt idx="67">
                  <c:v>44368</c:v>
                </c:pt>
                <c:pt idx="68">
                  <c:v>44369</c:v>
                </c:pt>
                <c:pt idx="69">
                  <c:v>44370</c:v>
                </c:pt>
              </c:numCache>
            </c:numRef>
          </c:cat>
          <c:val>
            <c:numRef>
              <c:f>Prognoseergebnis!$Q$66:$Q$170</c:f>
              <c:numCache>
                <c:formatCode>#,##0</c:formatCode>
                <c:ptCount val="105"/>
                <c:pt idx="0">
                  <c:v>134</c:v>
                </c:pt>
                <c:pt idx="1">
                  <c:v>135</c:v>
                </c:pt>
                <c:pt idx="2">
                  <c:v>134</c:v>
                </c:pt>
                <c:pt idx="3">
                  <c:v>133</c:v>
                </c:pt>
                <c:pt idx="4">
                  <c:v>133</c:v>
                </c:pt>
                <c:pt idx="5">
                  <c:v>136</c:v>
                </c:pt>
                <c:pt idx="6">
                  <c:v>145</c:v>
                </c:pt>
                <c:pt idx="7">
                  <c:v>147</c:v>
                </c:pt>
                <c:pt idx="8">
                  <c:v>147</c:v>
                </c:pt>
                <c:pt idx="9">
                  <c:v>148</c:v>
                </c:pt>
                <c:pt idx="10">
                  <c:v>148</c:v>
                </c:pt>
                <c:pt idx="11">
                  <c:v>149</c:v>
                </c:pt>
                <c:pt idx="12">
                  <c:v>155</c:v>
                </c:pt>
                <c:pt idx="13">
                  <c:v>159</c:v>
                </c:pt>
                <c:pt idx="14">
                  <c:v>158</c:v>
                </c:pt>
                <c:pt idx="15">
                  <c:v>158</c:v>
                </c:pt>
                <c:pt idx="16">
                  <c:v>159</c:v>
                </c:pt>
                <c:pt idx="17">
                  <c:v>160</c:v>
                </c:pt>
                <c:pt idx="18">
                  <c:v>163</c:v>
                </c:pt>
                <c:pt idx="19">
                  <c:v>167</c:v>
                </c:pt>
                <c:pt idx="20">
                  <c:v>169</c:v>
                </c:pt>
                <c:pt idx="21">
                  <c:v>170</c:v>
                </c:pt>
                <c:pt idx="22">
                  <c:v>172</c:v>
                </c:pt>
                <c:pt idx="23">
                  <c:v>174</c:v>
                </c:pt>
                <c:pt idx="24">
                  <c:v>174</c:v>
                </c:pt>
                <c:pt idx="25">
                  <c:v>176</c:v>
                </c:pt>
                <c:pt idx="26">
                  <c:v>180</c:v>
                </c:pt>
                <c:pt idx="27">
                  <c:v>182</c:v>
                </c:pt>
                <c:pt idx="28">
                  <c:v>185</c:v>
                </c:pt>
                <c:pt idx="29">
                  <c:v>187</c:v>
                </c:pt>
                <c:pt idx="30">
                  <c:v>188</c:v>
                </c:pt>
                <c:pt idx="31">
                  <c:v>188</c:v>
                </c:pt>
                <c:pt idx="32">
                  <c:v>190</c:v>
                </c:pt>
                <c:pt idx="33">
                  <c:v>195</c:v>
                </c:pt>
                <c:pt idx="34">
                  <c:v>198</c:v>
                </c:pt>
                <c:pt idx="35">
                  <c:v>200</c:v>
                </c:pt>
                <c:pt idx="36">
                  <c:v>202</c:v>
                </c:pt>
                <c:pt idx="37">
                  <c:v>203</c:v>
                </c:pt>
                <c:pt idx="38">
                  <c:v>204</c:v>
                </c:pt>
                <c:pt idx="39">
                  <c:v>206</c:v>
                </c:pt>
                <c:pt idx="40">
                  <c:v>211</c:v>
                </c:pt>
                <c:pt idx="41">
                  <c:v>214</c:v>
                </c:pt>
                <c:pt idx="42">
                  <c:v>216</c:v>
                </c:pt>
                <c:pt idx="43">
                  <c:v>219</c:v>
                </c:pt>
                <c:pt idx="44">
                  <c:v>220</c:v>
                </c:pt>
                <c:pt idx="45">
                  <c:v>221</c:v>
                </c:pt>
                <c:pt idx="46">
                  <c:v>223</c:v>
                </c:pt>
                <c:pt idx="47">
                  <c:v>228</c:v>
                </c:pt>
                <c:pt idx="48">
                  <c:v>231</c:v>
                </c:pt>
                <c:pt idx="49">
                  <c:v>234</c:v>
                </c:pt>
                <c:pt idx="50">
                  <c:v>237</c:v>
                </c:pt>
                <c:pt idx="51">
                  <c:v>238</c:v>
                </c:pt>
                <c:pt idx="52">
                  <c:v>239</c:v>
                </c:pt>
                <c:pt idx="53">
                  <c:v>242</c:v>
                </c:pt>
                <c:pt idx="54">
                  <c:v>247</c:v>
                </c:pt>
                <c:pt idx="55">
                  <c:v>251</c:v>
                </c:pt>
                <c:pt idx="56">
                  <c:v>254</c:v>
                </c:pt>
                <c:pt idx="57">
                  <c:v>257</c:v>
                </c:pt>
                <c:pt idx="58">
                  <c:v>258</c:v>
                </c:pt>
                <c:pt idx="59">
                  <c:v>259</c:v>
                </c:pt>
                <c:pt idx="60">
                  <c:v>262</c:v>
                </c:pt>
                <c:pt idx="61">
                  <c:v>268</c:v>
                </c:pt>
                <c:pt idx="62">
                  <c:v>272</c:v>
                </c:pt>
                <c:pt idx="63">
                  <c:v>275</c:v>
                </c:pt>
                <c:pt idx="64">
                  <c:v>278</c:v>
                </c:pt>
                <c:pt idx="65">
                  <c:v>280</c:v>
                </c:pt>
                <c:pt idx="66">
                  <c:v>281</c:v>
                </c:pt>
                <c:pt idx="67">
                  <c:v>285</c:v>
                </c:pt>
                <c:pt idx="68">
                  <c:v>291</c:v>
                </c:pt>
                <c:pt idx="69">
                  <c:v>295</c:v>
                </c:pt>
                <c:pt idx="70">
                  <c:v>298</c:v>
                </c:pt>
                <c:pt idx="71">
                  <c:v>302</c:v>
                </c:pt>
                <c:pt idx="72">
                  <c:v>304</c:v>
                </c:pt>
                <c:pt idx="73">
                  <c:v>305</c:v>
                </c:pt>
                <c:pt idx="74">
                  <c:v>309</c:v>
                </c:pt>
                <c:pt idx="75">
                  <c:v>316</c:v>
                </c:pt>
                <c:pt idx="76">
                  <c:v>320</c:v>
                </c:pt>
                <c:pt idx="77">
                  <c:v>266</c:v>
                </c:pt>
                <c:pt idx="78">
                  <c:v>219</c:v>
                </c:pt>
                <c:pt idx="79">
                  <c:v>184</c:v>
                </c:pt>
                <c:pt idx="80">
                  <c:v>156</c:v>
                </c:pt>
                <c:pt idx="81">
                  <c:v>96</c:v>
                </c:pt>
                <c:pt idx="82">
                  <c:v>36</c:v>
                </c:pt>
                <c:pt idx="83">
                  <c:v>-22</c:v>
                </c:pt>
                <c:pt idx="84">
                  <c:v>-23</c:v>
                </c:pt>
                <c:pt idx="85">
                  <c:v>-23</c:v>
                </c:pt>
                <c:pt idx="86">
                  <c:v>-20</c:v>
                </c:pt>
                <c:pt idx="87">
                  <c:v>-17</c:v>
                </c:pt>
                <c:pt idx="88">
                  <c:v>-15</c:v>
                </c:pt>
                <c:pt idx="89">
                  <c:v>-10</c:v>
                </c:pt>
                <c:pt idx="90">
                  <c:v>-5</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numCache>
            </c:numRef>
          </c:val>
          <c:smooth val="0"/>
          <c:extLst>
            <c:ext xmlns:c16="http://schemas.microsoft.com/office/drawing/2014/chart" uri="{C3380CC4-5D6E-409C-BE32-E72D297353CC}">
              <c16:uniqueId val="{00000000-AEA7-4026-9B61-F825784E01A7}"/>
            </c:ext>
          </c:extLst>
        </c:ser>
        <c:ser>
          <c:idx val="1"/>
          <c:order val="1"/>
          <c:tx>
            <c:v>Intensivstation</c:v>
          </c:tx>
          <c:spPr>
            <a:ln w="28575" cap="rnd">
              <a:solidFill>
                <a:srgbClr val="C00000"/>
              </a:solidFill>
              <a:round/>
            </a:ln>
            <a:effectLst/>
          </c:spPr>
          <c:marker>
            <c:symbol val="none"/>
          </c:marker>
          <c:cat>
            <c:numRef>
              <c:f>Prognoseergebnis!$C$66:$C$135</c:f>
              <c:numCache>
                <c:formatCode>m/d/yyyy</c:formatCode>
                <c:ptCount val="70"/>
                <c:pt idx="0">
                  <c:v>44301</c:v>
                </c:pt>
                <c:pt idx="1">
                  <c:v>44302</c:v>
                </c:pt>
                <c:pt idx="2">
                  <c:v>44303</c:v>
                </c:pt>
                <c:pt idx="3">
                  <c:v>44304</c:v>
                </c:pt>
                <c:pt idx="4">
                  <c:v>44305</c:v>
                </c:pt>
                <c:pt idx="5">
                  <c:v>44306</c:v>
                </c:pt>
                <c:pt idx="6">
                  <c:v>44307</c:v>
                </c:pt>
                <c:pt idx="7">
                  <c:v>44308</c:v>
                </c:pt>
                <c:pt idx="8">
                  <c:v>44309</c:v>
                </c:pt>
                <c:pt idx="9">
                  <c:v>44310</c:v>
                </c:pt>
                <c:pt idx="10">
                  <c:v>44311</c:v>
                </c:pt>
                <c:pt idx="11">
                  <c:v>44312</c:v>
                </c:pt>
                <c:pt idx="12">
                  <c:v>44313</c:v>
                </c:pt>
                <c:pt idx="13">
                  <c:v>44314</c:v>
                </c:pt>
                <c:pt idx="14">
                  <c:v>44315</c:v>
                </c:pt>
                <c:pt idx="15">
                  <c:v>44316</c:v>
                </c:pt>
                <c:pt idx="16">
                  <c:v>44317</c:v>
                </c:pt>
                <c:pt idx="17">
                  <c:v>44318</c:v>
                </c:pt>
                <c:pt idx="18">
                  <c:v>44319</c:v>
                </c:pt>
                <c:pt idx="19">
                  <c:v>44320</c:v>
                </c:pt>
                <c:pt idx="20">
                  <c:v>44321</c:v>
                </c:pt>
                <c:pt idx="21">
                  <c:v>44322</c:v>
                </c:pt>
                <c:pt idx="22">
                  <c:v>44323</c:v>
                </c:pt>
                <c:pt idx="23">
                  <c:v>44324</c:v>
                </c:pt>
                <c:pt idx="24">
                  <c:v>44325</c:v>
                </c:pt>
                <c:pt idx="25">
                  <c:v>44326</c:v>
                </c:pt>
                <c:pt idx="26">
                  <c:v>44327</c:v>
                </c:pt>
                <c:pt idx="27">
                  <c:v>44328</c:v>
                </c:pt>
                <c:pt idx="28">
                  <c:v>44329</c:v>
                </c:pt>
                <c:pt idx="29">
                  <c:v>44330</c:v>
                </c:pt>
                <c:pt idx="30">
                  <c:v>44331</c:v>
                </c:pt>
                <c:pt idx="31">
                  <c:v>44332</c:v>
                </c:pt>
                <c:pt idx="32">
                  <c:v>44333</c:v>
                </c:pt>
                <c:pt idx="33">
                  <c:v>44334</c:v>
                </c:pt>
                <c:pt idx="34">
                  <c:v>44335</c:v>
                </c:pt>
                <c:pt idx="35">
                  <c:v>44336</c:v>
                </c:pt>
                <c:pt idx="36">
                  <c:v>44337</c:v>
                </c:pt>
                <c:pt idx="37">
                  <c:v>44338</c:v>
                </c:pt>
                <c:pt idx="38">
                  <c:v>44339</c:v>
                </c:pt>
                <c:pt idx="39">
                  <c:v>44340</c:v>
                </c:pt>
                <c:pt idx="40">
                  <c:v>44341</c:v>
                </c:pt>
                <c:pt idx="41">
                  <c:v>44342</c:v>
                </c:pt>
                <c:pt idx="42">
                  <c:v>44343</c:v>
                </c:pt>
                <c:pt idx="43">
                  <c:v>44344</c:v>
                </c:pt>
                <c:pt idx="44">
                  <c:v>44345</c:v>
                </c:pt>
                <c:pt idx="45">
                  <c:v>44346</c:v>
                </c:pt>
                <c:pt idx="46">
                  <c:v>44347</c:v>
                </c:pt>
                <c:pt idx="47">
                  <c:v>44348</c:v>
                </c:pt>
                <c:pt idx="48">
                  <c:v>44349</c:v>
                </c:pt>
                <c:pt idx="49">
                  <c:v>44350</c:v>
                </c:pt>
                <c:pt idx="50">
                  <c:v>44351</c:v>
                </c:pt>
                <c:pt idx="51">
                  <c:v>44352</c:v>
                </c:pt>
                <c:pt idx="52">
                  <c:v>44353</c:v>
                </c:pt>
                <c:pt idx="53">
                  <c:v>44354</c:v>
                </c:pt>
                <c:pt idx="54">
                  <c:v>44355</c:v>
                </c:pt>
                <c:pt idx="55">
                  <c:v>44356</c:v>
                </c:pt>
                <c:pt idx="56">
                  <c:v>44357</c:v>
                </c:pt>
                <c:pt idx="57">
                  <c:v>44358</c:v>
                </c:pt>
                <c:pt idx="58">
                  <c:v>44359</c:v>
                </c:pt>
                <c:pt idx="59">
                  <c:v>44360</c:v>
                </c:pt>
                <c:pt idx="60">
                  <c:v>44361</c:v>
                </c:pt>
                <c:pt idx="61">
                  <c:v>44362</c:v>
                </c:pt>
                <c:pt idx="62">
                  <c:v>44363</c:v>
                </c:pt>
                <c:pt idx="63">
                  <c:v>44364</c:v>
                </c:pt>
                <c:pt idx="64">
                  <c:v>44365</c:v>
                </c:pt>
                <c:pt idx="65">
                  <c:v>44366</c:v>
                </c:pt>
                <c:pt idx="66">
                  <c:v>44367</c:v>
                </c:pt>
                <c:pt idx="67">
                  <c:v>44368</c:v>
                </c:pt>
                <c:pt idx="68">
                  <c:v>44369</c:v>
                </c:pt>
                <c:pt idx="69">
                  <c:v>44370</c:v>
                </c:pt>
              </c:numCache>
            </c:numRef>
          </c:cat>
          <c:val>
            <c:numRef>
              <c:f>Prognoseergebnis!$R$66:$R$170</c:f>
              <c:numCache>
                <c:formatCode>#,##0</c:formatCode>
                <c:ptCount val="105"/>
                <c:pt idx="0">
                  <c:v>45</c:v>
                </c:pt>
                <c:pt idx="1">
                  <c:v>46</c:v>
                </c:pt>
                <c:pt idx="2">
                  <c:v>46</c:v>
                </c:pt>
                <c:pt idx="3">
                  <c:v>46</c:v>
                </c:pt>
                <c:pt idx="4">
                  <c:v>49</c:v>
                </c:pt>
                <c:pt idx="5">
                  <c:v>51</c:v>
                </c:pt>
                <c:pt idx="6">
                  <c:v>50</c:v>
                </c:pt>
                <c:pt idx="7">
                  <c:v>51</c:v>
                </c:pt>
                <c:pt idx="8">
                  <c:v>51</c:v>
                </c:pt>
                <c:pt idx="9">
                  <c:v>50</c:v>
                </c:pt>
                <c:pt idx="10">
                  <c:v>50</c:v>
                </c:pt>
                <c:pt idx="11">
                  <c:v>52</c:v>
                </c:pt>
                <c:pt idx="12">
                  <c:v>53</c:v>
                </c:pt>
                <c:pt idx="13">
                  <c:v>54</c:v>
                </c:pt>
                <c:pt idx="14">
                  <c:v>56</c:v>
                </c:pt>
                <c:pt idx="15">
                  <c:v>55</c:v>
                </c:pt>
                <c:pt idx="16">
                  <c:v>54</c:v>
                </c:pt>
                <c:pt idx="17">
                  <c:v>54</c:v>
                </c:pt>
                <c:pt idx="18">
                  <c:v>57</c:v>
                </c:pt>
                <c:pt idx="19">
                  <c:v>58</c:v>
                </c:pt>
                <c:pt idx="20">
                  <c:v>59</c:v>
                </c:pt>
                <c:pt idx="21">
                  <c:v>60</c:v>
                </c:pt>
                <c:pt idx="22">
                  <c:v>60</c:v>
                </c:pt>
                <c:pt idx="23">
                  <c:v>59</c:v>
                </c:pt>
                <c:pt idx="24">
                  <c:v>59</c:v>
                </c:pt>
                <c:pt idx="25">
                  <c:v>62</c:v>
                </c:pt>
                <c:pt idx="26">
                  <c:v>63</c:v>
                </c:pt>
                <c:pt idx="27">
                  <c:v>64</c:v>
                </c:pt>
                <c:pt idx="28">
                  <c:v>64</c:v>
                </c:pt>
                <c:pt idx="29">
                  <c:v>64</c:v>
                </c:pt>
                <c:pt idx="30">
                  <c:v>64</c:v>
                </c:pt>
                <c:pt idx="31">
                  <c:v>64</c:v>
                </c:pt>
                <c:pt idx="32">
                  <c:v>67</c:v>
                </c:pt>
                <c:pt idx="33">
                  <c:v>68</c:v>
                </c:pt>
                <c:pt idx="34">
                  <c:v>69</c:v>
                </c:pt>
                <c:pt idx="35">
                  <c:v>70</c:v>
                </c:pt>
                <c:pt idx="36">
                  <c:v>70</c:v>
                </c:pt>
                <c:pt idx="37">
                  <c:v>69</c:v>
                </c:pt>
                <c:pt idx="38">
                  <c:v>69</c:v>
                </c:pt>
                <c:pt idx="39">
                  <c:v>73</c:v>
                </c:pt>
                <c:pt idx="40">
                  <c:v>74</c:v>
                </c:pt>
                <c:pt idx="41">
                  <c:v>74</c:v>
                </c:pt>
                <c:pt idx="42">
                  <c:v>75</c:v>
                </c:pt>
                <c:pt idx="43">
                  <c:v>75</c:v>
                </c:pt>
                <c:pt idx="44">
                  <c:v>75</c:v>
                </c:pt>
                <c:pt idx="45">
                  <c:v>74</c:v>
                </c:pt>
                <c:pt idx="46">
                  <c:v>79</c:v>
                </c:pt>
                <c:pt idx="47">
                  <c:v>80</c:v>
                </c:pt>
                <c:pt idx="48">
                  <c:v>80</c:v>
                </c:pt>
                <c:pt idx="49">
                  <c:v>81</c:v>
                </c:pt>
                <c:pt idx="50">
                  <c:v>82</c:v>
                </c:pt>
                <c:pt idx="51">
                  <c:v>81</c:v>
                </c:pt>
                <c:pt idx="52">
                  <c:v>81</c:v>
                </c:pt>
                <c:pt idx="53">
                  <c:v>85</c:v>
                </c:pt>
                <c:pt idx="54">
                  <c:v>87</c:v>
                </c:pt>
                <c:pt idx="55">
                  <c:v>87</c:v>
                </c:pt>
                <c:pt idx="56">
                  <c:v>88</c:v>
                </c:pt>
                <c:pt idx="57">
                  <c:v>88</c:v>
                </c:pt>
                <c:pt idx="58">
                  <c:v>88</c:v>
                </c:pt>
                <c:pt idx="59">
                  <c:v>87</c:v>
                </c:pt>
                <c:pt idx="60">
                  <c:v>92</c:v>
                </c:pt>
                <c:pt idx="61">
                  <c:v>94</c:v>
                </c:pt>
                <c:pt idx="62">
                  <c:v>94</c:v>
                </c:pt>
                <c:pt idx="63">
                  <c:v>95</c:v>
                </c:pt>
                <c:pt idx="64">
                  <c:v>96</c:v>
                </c:pt>
                <c:pt idx="65">
                  <c:v>95</c:v>
                </c:pt>
                <c:pt idx="66">
                  <c:v>95</c:v>
                </c:pt>
                <c:pt idx="67">
                  <c:v>100</c:v>
                </c:pt>
                <c:pt idx="68">
                  <c:v>102</c:v>
                </c:pt>
                <c:pt idx="69">
                  <c:v>102</c:v>
                </c:pt>
                <c:pt idx="70">
                  <c:v>104</c:v>
                </c:pt>
                <c:pt idx="71">
                  <c:v>104</c:v>
                </c:pt>
                <c:pt idx="72">
                  <c:v>103</c:v>
                </c:pt>
                <c:pt idx="73">
                  <c:v>103</c:v>
                </c:pt>
                <c:pt idx="74">
                  <c:v>108</c:v>
                </c:pt>
                <c:pt idx="75">
                  <c:v>110</c:v>
                </c:pt>
                <c:pt idx="76">
                  <c:v>111</c:v>
                </c:pt>
                <c:pt idx="77">
                  <c:v>103</c:v>
                </c:pt>
                <c:pt idx="78">
                  <c:v>95</c:v>
                </c:pt>
                <c:pt idx="79">
                  <c:v>89</c:v>
                </c:pt>
                <c:pt idx="80">
                  <c:v>84</c:v>
                </c:pt>
                <c:pt idx="81">
                  <c:v>80</c:v>
                </c:pt>
                <c:pt idx="82">
                  <c:v>71</c:v>
                </c:pt>
                <c:pt idx="83">
                  <c:v>62</c:v>
                </c:pt>
                <c:pt idx="84">
                  <c:v>54</c:v>
                </c:pt>
                <c:pt idx="85">
                  <c:v>46</c:v>
                </c:pt>
                <c:pt idx="86">
                  <c:v>38</c:v>
                </c:pt>
                <c:pt idx="87">
                  <c:v>33</c:v>
                </c:pt>
                <c:pt idx="88">
                  <c:v>29</c:v>
                </c:pt>
                <c:pt idx="89">
                  <c:v>19</c:v>
                </c:pt>
                <c:pt idx="90">
                  <c:v>10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numCache>
            </c:numRef>
          </c:val>
          <c:smooth val="0"/>
          <c:extLst>
            <c:ext xmlns:c16="http://schemas.microsoft.com/office/drawing/2014/chart" uri="{C3380CC4-5D6E-409C-BE32-E72D297353CC}">
              <c16:uniqueId val="{00000001-AEA7-4026-9B61-F825784E01A7}"/>
            </c:ext>
          </c:extLst>
        </c:ser>
        <c:dLbls>
          <c:showLegendKey val="0"/>
          <c:showVal val="0"/>
          <c:showCatName val="0"/>
          <c:showSerName val="0"/>
          <c:showPercent val="0"/>
          <c:showBubbleSize val="0"/>
        </c:dLbls>
        <c:marker val="1"/>
        <c:smooth val="0"/>
        <c:axId val="356427648"/>
        <c:axId val="356429184"/>
      </c:lineChart>
      <c:scatterChart>
        <c:scatterStyle val="lineMarker"/>
        <c:varyColors val="0"/>
        <c:ser>
          <c:idx val="2"/>
          <c:order val="2"/>
          <c:tx>
            <c:strRef>
              <c:f>'Grafische Darstellung'!$AR$2</c:f>
              <c:strCache>
                <c:ptCount val="1"/>
                <c:pt idx="0">
                  <c:v>Höchster Peak (Normalstation)</c:v>
                </c:pt>
              </c:strCache>
            </c:strRef>
          </c:tx>
          <c:spPr>
            <a:ln w="25400" cap="rnd">
              <a:noFill/>
              <a:round/>
            </a:ln>
            <a:effectLst/>
          </c:spPr>
          <c:marker>
            <c:symbol val="diamond"/>
            <c:size val="10"/>
            <c:spPr>
              <a:solidFill>
                <a:srgbClr val="FF0000"/>
              </a:solidFill>
              <a:ln w="9525">
                <a:noFill/>
              </a:ln>
              <a:effectLst/>
            </c:spPr>
          </c:marker>
          <c:dLbls>
            <c:dLbl>
              <c:idx val="0"/>
              <c:tx>
                <c:rich>
                  <a:bodyPr/>
                  <a:lstStyle/>
                  <a:p>
                    <a:fld id="{87D5FF6C-32F9-42F1-8B04-CAA2FF485AF7}" type="CELLRANGE">
                      <a:rPr lang="en-US"/>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EA7-4026-9B61-F825784E01A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'Grafische Darstellung'!$AS$27</c:f>
              <c:numCache>
                <c:formatCode>m/d/yyyy</c:formatCode>
                <c:ptCount val="1"/>
                <c:pt idx="0">
                  <c:v>44370</c:v>
                </c:pt>
              </c:numCache>
            </c:numRef>
          </c:xVal>
          <c:yVal>
            <c:numRef>
              <c:f>'Grafische Darstellung'!$AS$26</c:f>
              <c:numCache>
                <c:formatCode>#,##0</c:formatCode>
                <c:ptCount val="1"/>
                <c:pt idx="0">
                  <c:v>295</c:v>
                </c:pt>
              </c:numCache>
            </c:numRef>
          </c:yVal>
          <c:smooth val="0"/>
          <c:extLst>
            <c:ext xmlns:c15="http://schemas.microsoft.com/office/drawing/2012/chart" uri="{02D57815-91ED-43cb-92C2-25804820EDAC}">
              <c15:datalabelsRange>
                <c15:f>'Grafische Darstellung'!$AU$26</c15:f>
                <c15:dlblRangeCache>
                  <c:ptCount val="1"/>
                  <c:pt idx="0">
                    <c:v>Peak: 295 am 23.06</c:v>
                  </c:pt>
                </c15:dlblRangeCache>
              </c15:datalabelsRange>
            </c:ext>
            <c:ext xmlns:c16="http://schemas.microsoft.com/office/drawing/2014/chart" uri="{C3380CC4-5D6E-409C-BE32-E72D297353CC}">
              <c16:uniqueId val="{00000003-AEA7-4026-9B61-F825784E01A7}"/>
            </c:ext>
          </c:extLst>
        </c:ser>
        <c:ser>
          <c:idx val="3"/>
          <c:order val="3"/>
          <c:tx>
            <c:strRef>
              <c:f>'Grafische Darstellung'!$AR$6</c:f>
              <c:strCache>
                <c:ptCount val="1"/>
                <c:pt idx="0">
                  <c:v>Höchster Peak (Intensivstation)</c:v>
                </c:pt>
              </c:strCache>
            </c:strRef>
          </c:tx>
          <c:spPr>
            <a:ln w="25400" cap="rnd">
              <a:noFill/>
              <a:round/>
            </a:ln>
            <a:effectLst/>
          </c:spPr>
          <c:marker>
            <c:symbol val="diamond"/>
            <c:size val="10"/>
            <c:spPr>
              <a:solidFill>
                <a:schemeClr val="accent4"/>
              </a:solidFill>
              <a:ln w="9525">
                <a:solidFill>
                  <a:schemeClr val="accent4"/>
                </a:solidFill>
              </a:ln>
              <a:effectLst/>
            </c:spPr>
          </c:marker>
          <c:dLbls>
            <c:dLbl>
              <c:idx val="0"/>
              <c:tx>
                <c:rich>
                  <a:bodyPr/>
                  <a:lstStyle/>
                  <a:p>
                    <a:fld id="{B53B860E-BDD3-4B8C-946F-672F42F96AAB}" type="CELLRANGE">
                      <a:rPr lang="en-US"/>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AEA7-4026-9B61-F825784E01A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'Grafische Darstellung'!$AS$31</c:f>
              <c:numCache>
                <c:formatCode>m/d/yyyy</c:formatCode>
                <c:ptCount val="1"/>
                <c:pt idx="0">
                  <c:v>44369</c:v>
                </c:pt>
              </c:numCache>
            </c:numRef>
          </c:xVal>
          <c:yVal>
            <c:numRef>
              <c:f>'Grafische Darstellung'!$AS$30</c:f>
              <c:numCache>
                <c:formatCode>General</c:formatCode>
                <c:ptCount val="1"/>
                <c:pt idx="0">
                  <c:v>102</c:v>
                </c:pt>
              </c:numCache>
            </c:numRef>
          </c:yVal>
          <c:smooth val="0"/>
          <c:extLst>
            <c:ext xmlns:c15="http://schemas.microsoft.com/office/drawing/2012/chart" uri="{02D57815-91ED-43cb-92C2-25804820EDAC}">
              <c15:datalabelsRange>
                <c15:f>'Grafische Darstellung'!$AU$30</c15:f>
                <c15:dlblRangeCache>
                  <c:ptCount val="1"/>
                  <c:pt idx="0">
                    <c:v>Peak: 102 am 22.06</c:v>
                  </c:pt>
                </c15:dlblRangeCache>
              </c15:datalabelsRange>
            </c:ext>
            <c:ext xmlns:c16="http://schemas.microsoft.com/office/drawing/2014/chart" uri="{C3380CC4-5D6E-409C-BE32-E72D297353CC}">
              <c16:uniqueId val="{00000005-AEA7-4026-9B61-F825784E01A7}"/>
            </c:ext>
          </c:extLst>
        </c:ser>
        <c:dLbls>
          <c:showLegendKey val="0"/>
          <c:showVal val="0"/>
          <c:showCatName val="0"/>
          <c:showSerName val="0"/>
          <c:showPercent val="0"/>
          <c:showBubbleSize val="0"/>
        </c:dLbls>
        <c:axId val="356444800"/>
        <c:axId val="356443264"/>
      </c:scatterChart>
      <c:dateAx>
        <c:axId val="356427648"/>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56429184"/>
        <c:crosses val="autoZero"/>
        <c:auto val="1"/>
        <c:lblOffset val="100"/>
        <c:baseTimeUnit val="days"/>
      </c:dateAx>
      <c:valAx>
        <c:axId val="356429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56427648"/>
        <c:crosses val="autoZero"/>
        <c:crossBetween val="between"/>
      </c:valAx>
      <c:valAx>
        <c:axId val="356443264"/>
        <c:scaling>
          <c:orientation val="minMax"/>
        </c:scaling>
        <c:delete val="1"/>
        <c:axPos val="r"/>
        <c:numFmt formatCode="#,##0" sourceLinked="1"/>
        <c:majorTickMark val="out"/>
        <c:minorTickMark val="none"/>
        <c:tickLblPos val="nextTo"/>
        <c:crossAx val="356444800"/>
        <c:crosses val="max"/>
        <c:crossBetween val="midCat"/>
      </c:valAx>
      <c:valAx>
        <c:axId val="356444800"/>
        <c:scaling>
          <c:orientation val="minMax"/>
        </c:scaling>
        <c:delete val="1"/>
        <c:axPos val="b"/>
        <c:numFmt formatCode="m/d/yyyy" sourceLinked="1"/>
        <c:majorTickMark val="out"/>
        <c:minorTickMark val="none"/>
        <c:tickLblPos val="nextTo"/>
        <c:crossAx val="356443264"/>
        <c:crosses val="autoZero"/>
        <c:crossBetween val="midCat"/>
      </c:valAx>
      <c:spPr>
        <a:noFill/>
        <a:ln>
          <a:noFill/>
        </a:ln>
        <a:effectLst/>
      </c:spPr>
    </c:plotArea>
    <c:legend>
      <c:legendPos val="b"/>
      <c:legendEntry>
        <c:idx val="2"/>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de-DE"/>
    </a:p>
  </c:txPr>
  <c:printSettings>
    <c:headerFooter/>
    <c:pageMargins b="0.78740157499999996" l="0.7" r="0.7" t="0.78740157499999996"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4</xdr:col>
      <xdr:colOff>899471</xdr:colOff>
      <xdr:row>3</xdr:row>
      <xdr:rowOff>83278</xdr:rowOff>
    </xdr:from>
    <xdr:to>
      <xdr:col>5</xdr:col>
      <xdr:colOff>717701</xdr:colOff>
      <xdr:row>6</xdr:row>
      <xdr:rowOff>26129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93307" y="607934"/>
          <a:ext cx="942493" cy="4675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6896100</xdr:colOff>
      <xdr:row>0</xdr:row>
      <xdr:rowOff>50785</xdr:rowOff>
    </xdr:from>
    <xdr:to>
      <xdr:col>3</xdr:col>
      <xdr:colOff>7750484</xdr:colOff>
      <xdr:row>2</xdr:row>
      <xdr:rowOff>73819</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1700" y="50785"/>
          <a:ext cx="854384" cy="4230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438542</xdr:colOff>
      <xdr:row>0</xdr:row>
      <xdr:rowOff>24507</xdr:rowOff>
    </xdr:from>
    <xdr:to>
      <xdr:col>15</xdr:col>
      <xdr:colOff>1319331</xdr:colOff>
      <xdr:row>2</xdr:row>
      <xdr:rowOff>100784</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46299" y="24507"/>
          <a:ext cx="880789" cy="4510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284814</xdr:colOff>
          <xdr:row>1</xdr:row>
          <xdr:rowOff>112426</xdr:rowOff>
        </xdr:from>
        <xdr:to>
          <xdr:col>1</xdr:col>
          <xdr:colOff>735862</xdr:colOff>
          <xdr:row>2</xdr:row>
          <xdr:rowOff>307298</xdr:rowOff>
        </xdr:to>
        <xdr:pic>
          <xdr:nvPicPr>
            <xdr:cNvPr id="5" name="Grafik 4">
              <a:extLst>
                <a:ext uri="{FF2B5EF4-FFF2-40B4-BE49-F238E27FC236}">
                  <a16:creationId xmlns:a16="http://schemas.microsoft.com/office/drawing/2014/main" id="{00000000-0008-0000-0300-000005000000}"/>
                </a:ext>
              </a:extLst>
            </xdr:cNvPr>
            <xdr:cNvPicPr>
              <a:picLocks noChangeAspect="1" noChangeArrowheads="1"/>
              <a:extLst>
                <a:ext uri="{84589F7E-364E-4C9E-8A38-B11213B215E9}">
                  <a14:cameraTool cellRange="Stammdaten!$D$1" spid="_x0000_s12920"/>
                </a:ext>
              </a:extLst>
            </xdr:cNvPicPr>
          </xdr:nvPicPr>
          <xdr:blipFill>
            <a:blip xmlns:r="http://schemas.openxmlformats.org/officeDocument/2006/relationships" r:embed="rId1"/>
            <a:srcRect/>
            <a:stretch>
              <a:fillRect/>
            </a:stretch>
          </xdr:blipFill>
          <xdr:spPr bwMode="auto">
            <a:xfrm>
              <a:off x="3110460" y="112426"/>
              <a:ext cx="451048" cy="359764"/>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17</xdr:col>
      <xdr:colOff>307028</xdr:colOff>
      <xdr:row>0</xdr:row>
      <xdr:rowOff>86657</xdr:rowOff>
    </xdr:from>
    <xdr:to>
      <xdr:col>17</xdr:col>
      <xdr:colOff>1202214</xdr:colOff>
      <xdr:row>3</xdr:row>
      <xdr:rowOff>32031</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77797" y="86657"/>
          <a:ext cx="895186" cy="50524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55561</xdr:colOff>
      <xdr:row>14</xdr:row>
      <xdr:rowOff>25400</xdr:rowOff>
    </xdr:from>
    <xdr:to>
      <xdr:col>11</xdr:col>
      <xdr:colOff>736601</xdr:colOff>
      <xdr:row>58</xdr:row>
      <xdr:rowOff>133348</xdr:rowOff>
    </xdr:to>
    <xdr:graphicFrame macro="">
      <xdr:nvGraphicFramePr>
        <xdr:cNvPr id="2" name="Diagramm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25401</xdr:colOff>
      <xdr:row>14</xdr:row>
      <xdr:rowOff>59416</xdr:rowOff>
    </xdr:from>
    <xdr:to>
      <xdr:col>24</xdr:col>
      <xdr:colOff>749301</xdr:colOff>
      <xdr:row>58</xdr:row>
      <xdr:rowOff>168728</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62864</xdr:colOff>
      <xdr:row>59</xdr:row>
      <xdr:rowOff>103642</xdr:rowOff>
    </xdr:from>
    <xdr:to>
      <xdr:col>37</xdr:col>
      <xdr:colOff>770164</xdr:colOff>
      <xdr:row>105</xdr:row>
      <xdr:rowOff>68036</xdr:rowOff>
    </xdr:to>
    <xdr:graphicFrame macro="">
      <xdr:nvGraphicFramePr>
        <xdr:cNvPr id="4" name="Diagramm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14627</xdr:colOff>
      <xdr:row>59</xdr:row>
      <xdr:rowOff>58057</xdr:rowOff>
    </xdr:from>
    <xdr:to>
      <xdr:col>24</xdr:col>
      <xdr:colOff>713559</xdr:colOff>
      <xdr:row>105</xdr:row>
      <xdr:rowOff>8617</xdr:rowOff>
    </xdr:to>
    <xdr:graphicFrame macro="">
      <xdr:nvGraphicFramePr>
        <xdr:cNvPr id="5" name="Diagramm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61913</xdr:colOff>
      <xdr:row>59</xdr:row>
      <xdr:rowOff>30161</xdr:rowOff>
    </xdr:from>
    <xdr:to>
      <xdr:col>11</xdr:col>
      <xdr:colOff>736600</xdr:colOff>
      <xdr:row>105</xdr:row>
      <xdr:rowOff>6349</xdr:rowOff>
    </xdr:to>
    <xdr:graphicFrame macro="">
      <xdr:nvGraphicFramePr>
        <xdr:cNvPr id="6" name="Diagramm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36</xdr:col>
      <xdr:colOff>580472</xdr:colOff>
      <xdr:row>0</xdr:row>
      <xdr:rowOff>168411</xdr:rowOff>
    </xdr:from>
    <xdr:to>
      <xdr:col>38</xdr:col>
      <xdr:colOff>1889</xdr:colOff>
      <xdr:row>4</xdr:row>
      <xdr:rowOff>9237</xdr:rowOff>
    </xdr:to>
    <xdr:pic>
      <xdr:nvPicPr>
        <xdr:cNvPr id="8" name="Grafik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6401386" y="331697"/>
          <a:ext cx="1010731" cy="526626"/>
        </a:xfrm>
        <a:prstGeom prst="rect">
          <a:avLst/>
        </a:prstGeom>
      </xdr:spPr>
    </xdr:pic>
    <xdr:clientData/>
  </xdr:twoCellAnchor>
  <xdr:twoCellAnchor>
    <xdr:from>
      <xdr:col>27</xdr:col>
      <xdr:colOff>52251</xdr:colOff>
      <xdr:row>14</xdr:row>
      <xdr:rowOff>76381</xdr:rowOff>
    </xdr:from>
    <xdr:to>
      <xdr:col>37</xdr:col>
      <xdr:colOff>743495</xdr:colOff>
      <xdr:row>59</xdr:row>
      <xdr:rowOff>38100</xdr:rowOff>
    </xdr:to>
    <xdr:graphicFrame macro="">
      <xdr:nvGraphicFramePr>
        <xdr:cNvPr id="9" name="Diagramm 8">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877797</xdr:colOff>
      <xdr:row>1</xdr:row>
      <xdr:rowOff>72527</xdr:rowOff>
    </xdr:from>
    <xdr:to>
      <xdr:col>5</xdr:col>
      <xdr:colOff>717702</xdr:colOff>
      <xdr:row>3</xdr:row>
      <xdr:rowOff>182103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39154" y="597183"/>
          <a:ext cx="964167" cy="470762"/>
        </a:xfrm>
        <a:prstGeom prst="rect">
          <a:avLst/>
        </a:prstGeom>
      </xdr:spPr>
    </xdr:pic>
    <xdr:clientData/>
  </xdr:twoCellAnchor>
  <xdr:twoCellAnchor editAs="oneCell">
    <xdr:from>
      <xdr:col>4</xdr:col>
      <xdr:colOff>877797</xdr:colOff>
      <xdr:row>1</xdr:row>
      <xdr:rowOff>72527</xdr:rowOff>
    </xdr:from>
    <xdr:to>
      <xdr:col>5</xdr:col>
      <xdr:colOff>717702</xdr:colOff>
      <xdr:row>3</xdr:row>
      <xdr:rowOff>182103</xdr:rowOff>
    </xdr:to>
    <xdr:pic>
      <xdr:nvPicPr>
        <xdr:cNvPr id="3" name="Grafi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61640" y="237419"/>
          <a:ext cx="964167" cy="476835"/>
        </a:xfrm>
        <a:prstGeom prst="rect">
          <a:avLst/>
        </a:prstGeom>
      </xdr:spPr>
    </xdr:pic>
    <xdr:clientData/>
  </xdr:twoCellAnchor>
</xdr:wsDr>
</file>

<file path=xl/theme/theme1.xml><?xml version="1.0" encoding="utf-8"?>
<a:theme xmlns:a="http://schemas.openxmlformats.org/drawingml/2006/main" name="Präsentation3">
  <a:themeElements>
    <a:clrScheme name="ZeQ-Farbskala">
      <a:dk1>
        <a:srgbClr val="000000"/>
      </a:dk1>
      <a:lt1>
        <a:srgbClr val="FFFFFF"/>
      </a:lt1>
      <a:dk2>
        <a:srgbClr val="288028"/>
      </a:dk2>
      <a:lt2>
        <a:srgbClr val="CBEFCB"/>
      </a:lt2>
      <a:accent1>
        <a:srgbClr val="002060"/>
      </a:accent1>
      <a:accent2>
        <a:srgbClr val="3F3F3F"/>
      </a:accent2>
      <a:accent3>
        <a:srgbClr val="FFCC00"/>
      </a:accent3>
      <a:accent4>
        <a:srgbClr val="991A36"/>
      </a:accent4>
      <a:accent5>
        <a:srgbClr val="000000"/>
      </a:accent5>
      <a:accent6>
        <a:srgbClr val="FFFFFF"/>
      </a:accent6>
      <a:hlink>
        <a:srgbClr val="288028"/>
      </a:hlink>
      <a:folHlink>
        <a:srgbClr val="CAEFCA"/>
      </a:folHlink>
    </a:clrScheme>
    <a:fontScheme name="ZeQ-Schrift">
      <a:majorFont>
        <a:latin typeface="Arial"/>
        <a:ea typeface=""/>
        <a:cs typeface=""/>
      </a:majorFont>
      <a:minorFont>
        <a:latin typeface="Arial"/>
        <a:ea typeface=""/>
        <a:cs typeface=""/>
      </a:minorFont>
    </a:fontScheme>
    <a:fmtScheme name="Phoebe">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chemeClr val="tx1"/>
          </a:solidFill>
          <a:prstDash val="solid"/>
          <a:round/>
          <a:headEnd type="none" w="med" len="med"/>
          <a:tailEnd type="none" w="med" len="med"/>
        </a:ln>
        <a:effectLst/>
      </a:spPr>
      <a:bodyPr vert="horz" wrap="square" lIns="54000" tIns="45720" rIns="0" bIns="36000" numCol="1" anchor="ctr" anchorCtr="0" compatLnSpc="1">
        <a:prstTxWarp prst="textNoShape">
          <a:avLst/>
        </a:prstTxWarp>
      </a:bodyPr>
      <a:lstStyle>
        <a:defPPr marL="274638" marR="0" indent="-274638" algn="ctr" defTabSz="914400" rtl="0" eaLnBrk="0" fontAlgn="base" latinLnBrk="0" hangingPunct="0">
          <a:lnSpc>
            <a:spcPct val="90000"/>
          </a:lnSpc>
          <a:spcBef>
            <a:spcPct val="50000"/>
          </a:spcBef>
          <a:spcAft>
            <a:spcPct val="0"/>
          </a:spcAft>
          <a:buClrTx/>
          <a:buSzTx/>
          <a:buFont typeface="Wingdings" pitchFamily="2" charset="2"/>
          <a:buNone/>
          <a:tabLst/>
          <a:defRPr kumimoji="0" lang="de-DE" sz="1600" b="0" i="0" u="none" strike="noStrike" cap="none" normalizeH="0" baseline="0" smtClean="0">
            <a:ln>
              <a:noFill/>
            </a:ln>
            <a:solidFill>
              <a:schemeClr val="tx1"/>
            </a:solidFill>
            <a:effectLst/>
            <a:latin typeface="Arial" charset="0"/>
          </a:defRPr>
        </a:defPPr>
      </a:lstStyle>
    </a:spDef>
    <a:lnDef>
      <a:spPr bwMode="auto">
        <a:xfrm>
          <a:off x="0" y="0"/>
          <a:ext cx="1" cy="1"/>
        </a:xfrm>
        <a:custGeom>
          <a:avLst/>
          <a:gdLst/>
          <a:ahLst/>
          <a:cxnLst/>
          <a:rect l="0" t="0" r="0" b="0"/>
          <a:pathLst/>
        </a:custGeom>
        <a:noFill/>
        <a:ln w="12700" cap="flat" cmpd="sng" algn="ctr">
          <a:solidFill>
            <a:schemeClr val="tx1"/>
          </a:solidFill>
          <a:prstDash val="solid"/>
          <a:round/>
          <a:headEnd type="none" w="med" len="med"/>
          <a:tailEnd type="none" w="med" len="med"/>
        </a:ln>
        <a:effectLst/>
      </a:spPr>
      <a:bodyPr vert="horz" wrap="square" lIns="54000" tIns="45720" rIns="0" bIns="36000" numCol="1" anchor="ctr" anchorCtr="0" compatLnSpc="1">
        <a:prstTxWarp prst="textNoShape">
          <a:avLst/>
        </a:prstTxWarp>
      </a:bodyPr>
      <a:lstStyle>
        <a:defPPr marL="274638" marR="0" indent="-274638" algn="ctr" defTabSz="914400" rtl="0" eaLnBrk="0" fontAlgn="base" latinLnBrk="0" hangingPunct="0">
          <a:lnSpc>
            <a:spcPct val="90000"/>
          </a:lnSpc>
          <a:spcBef>
            <a:spcPct val="50000"/>
          </a:spcBef>
          <a:spcAft>
            <a:spcPct val="0"/>
          </a:spcAft>
          <a:buClrTx/>
          <a:buSzTx/>
          <a:buFont typeface="Wingdings" pitchFamily="2" charset="2"/>
          <a:buNone/>
          <a:tabLst/>
          <a:defRPr kumimoji="0" lang="de-DE" sz="1600" b="0" i="0" u="none" strike="noStrike" cap="none" normalizeH="0" baseline="0" smtClean="0">
            <a:ln>
              <a:noFill/>
            </a:ln>
            <a:solidFill>
              <a:schemeClr val="tx1"/>
            </a:solidFill>
            <a:effectLst/>
            <a:latin typeface="Arial" charset="0"/>
          </a:defRPr>
        </a:defPPr>
      </a:lstStyle>
    </a:lnDef>
  </a:objectDefaults>
  <a:extraClrSchemeLst>
    <a:extraClrScheme>
      <a:clrScheme name="Vorlage ZeQ 2009 1">
        <a:dk1>
          <a:srgbClr val="000000"/>
        </a:dk1>
        <a:lt1>
          <a:srgbClr val="FFFFFF"/>
        </a:lt1>
        <a:dk2>
          <a:srgbClr val="991A36"/>
        </a:dk2>
        <a:lt2>
          <a:srgbClr val="ACACAC"/>
        </a:lt2>
        <a:accent1>
          <a:srgbClr val="CCFFCC"/>
        </a:accent1>
        <a:accent2>
          <a:srgbClr val="288028"/>
        </a:accent2>
        <a:accent3>
          <a:srgbClr val="FFFFFF"/>
        </a:accent3>
        <a:accent4>
          <a:srgbClr val="000000"/>
        </a:accent4>
        <a:accent5>
          <a:srgbClr val="E2FFE2"/>
        </a:accent5>
        <a:accent6>
          <a:srgbClr val="237323"/>
        </a:accent6>
        <a:hlink>
          <a:srgbClr val="000099"/>
        </a:hlink>
        <a:folHlink>
          <a:srgbClr val="FFFF99"/>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qap.ecdc.europa.eu/public/extensions/COVID-19/COVID-19.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B1:F68"/>
  <sheetViews>
    <sheetView showGridLines="0" topLeftCell="A4" zoomScale="90" zoomScaleNormal="90" workbookViewId="0">
      <selection activeCell="E23" sqref="E23"/>
    </sheetView>
  </sheetViews>
  <sheetFormatPr baseColWidth="10" defaultRowHeight="12.75" x14ac:dyDescent="0.2"/>
  <cols>
    <col min="1" max="1" width="2" customWidth="1"/>
    <col min="2" max="2" width="117.140625" customWidth="1"/>
    <col min="3" max="3" width="3.42578125" style="125" customWidth="1"/>
    <col min="4" max="5" width="16.7109375" customWidth="1"/>
    <col min="6" max="6" width="11.140625" customWidth="1"/>
    <col min="7" max="7" width="2.42578125" customWidth="1"/>
  </cols>
  <sheetData>
    <row r="1" spans="2:6" x14ac:dyDescent="0.2">
      <c r="F1" s="267" t="s">
        <v>120</v>
      </c>
    </row>
    <row r="2" spans="2:6" ht="15.75" x14ac:dyDescent="0.2">
      <c r="B2" s="149" t="str">
        <f>"Der ZEQ-Szenariorechner zum Strukturbedarf im Rahmen der COVID-19-Pandemie "&amp;E21</f>
        <v>Der ZEQ-Szenariorechner zum Strukturbedarf im Rahmen der COVID-19-Pandemie Version 5.1</v>
      </c>
      <c r="C2" s="121"/>
      <c r="F2" s="268"/>
    </row>
    <row r="3" spans="2:6" x14ac:dyDescent="0.2">
      <c r="F3" s="268"/>
    </row>
    <row r="4" spans="2:6" ht="13.5" x14ac:dyDescent="0.2">
      <c r="B4" s="270" t="str">
        <f>"Die dargestellten Strukturbedarfe beruhen auf aktuellen Erkenntnissen zum Ausbreitungs- und Krankheitsverlauf durch das Coronavirus (COVID-19). "&amp;"Alle Prognosen basieren auf einer mathematischen Modellierung auf Grundlage der bisherigen Fallzahlentwicklung in "&amp;Stammdaten!F16&amp;". Die dargestellten Strukturbedarfe dienen als Orientierungswert bei der Vorbereitung des "&amp;Stammdaten!F17&amp;" Gesundheitswesens auf die unmittelbaren Auswirkungen der Erkrankungswelle.  Abweichungen von der tatsächlichen Entwicklung sind bei einer solchen Modellierung naturgemäß nicht auszuschließen."</f>
        <v>Die dargestellten Strukturbedarfe beruhen auf aktuellen Erkenntnissen zum Ausbreitungs- und Krankheitsverlauf durch das Coronavirus (COVID-19). Alle Prognosen basieren auf einer mathematischen Modellierung auf Grundlage der bisherigen Fallzahlentwicklung in der Schweiz. Die dargestellten Strukturbedarfe dienen als Orientierungswert bei der Vorbereitung des Schweizer Gesundheitswesens auf die unmittelbaren Auswirkungen der Erkrankungswelle.  Abweichungen von der tatsächlichen Entwicklung sind bei einer solchen Modellierung naturgemäß nicht auszuschließen.</v>
      </c>
      <c r="C4" s="122"/>
    </row>
    <row r="5" spans="2:6" ht="13.5" x14ac:dyDescent="0.2">
      <c r="B5" s="271"/>
      <c r="C5" s="122"/>
    </row>
    <row r="6" spans="2:6" ht="13.5" x14ac:dyDescent="0.2">
      <c r="B6" s="271"/>
      <c r="C6" s="122"/>
    </row>
    <row r="7" spans="2:6" ht="13.5" x14ac:dyDescent="0.2">
      <c r="B7" s="271"/>
      <c r="C7" s="122"/>
    </row>
    <row r="8" spans="2:6" ht="13.5" x14ac:dyDescent="0.2">
      <c r="B8" s="271"/>
      <c r="C8" s="122"/>
      <c r="D8" s="269" t="s">
        <v>121</v>
      </c>
      <c r="E8" s="269"/>
      <c r="F8" s="269"/>
    </row>
    <row r="9" spans="2:6" ht="13.15" customHeight="1" x14ac:dyDescent="0.2">
      <c r="B9" s="272"/>
      <c r="C9" s="122"/>
      <c r="D9" s="269"/>
      <c r="E9" s="269"/>
      <c r="F9" s="269"/>
    </row>
    <row r="10" spans="2:6" ht="13.5" x14ac:dyDescent="0.2">
      <c r="B10" s="125"/>
      <c r="C10" s="122"/>
      <c r="D10" s="269"/>
      <c r="E10" s="269"/>
      <c r="F10" s="269"/>
    </row>
    <row r="11" spans="2:6" ht="27" x14ac:dyDescent="0.2">
      <c r="B11" s="182" t="s">
        <v>196</v>
      </c>
      <c r="C11" s="122"/>
      <c r="D11" s="269"/>
      <c r="E11" s="269"/>
      <c r="F11" s="269"/>
    </row>
    <row r="12" spans="2:6" ht="19.5" customHeight="1" x14ac:dyDescent="0.2">
      <c r="B12" s="125"/>
      <c r="C12" s="122"/>
      <c r="D12" s="269"/>
      <c r="E12" s="269"/>
      <c r="F12" s="269"/>
    </row>
    <row r="13" spans="2:6" ht="13.5" x14ac:dyDescent="0.2">
      <c r="B13" s="264" t="s">
        <v>92</v>
      </c>
      <c r="C13" s="122"/>
      <c r="D13" s="269"/>
      <c r="E13" s="269"/>
      <c r="F13" s="269"/>
    </row>
    <row r="14" spans="2:6" ht="20.65" customHeight="1" x14ac:dyDescent="0.2">
      <c r="B14" s="264"/>
      <c r="C14" s="123"/>
      <c r="D14" s="269"/>
      <c r="E14" s="269"/>
      <c r="F14" s="269"/>
    </row>
    <row r="15" spans="2:6" ht="14.85" customHeight="1" x14ac:dyDescent="0.2">
      <c r="B15" s="125"/>
      <c r="C15" s="123"/>
      <c r="D15" s="269"/>
      <c r="E15" s="269"/>
      <c r="F15" s="269"/>
    </row>
    <row r="16" spans="2:6" ht="14.85" customHeight="1" x14ac:dyDescent="0.2">
      <c r="B16" s="266" t="s">
        <v>159</v>
      </c>
      <c r="C16" s="123"/>
      <c r="D16" s="269"/>
      <c r="E16" s="269"/>
      <c r="F16" s="269"/>
    </row>
    <row r="17" spans="2:6" ht="14.85" customHeight="1" x14ac:dyDescent="0.2">
      <c r="B17" s="266"/>
      <c r="C17" s="123"/>
      <c r="D17" s="269"/>
      <c r="E17" s="269"/>
      <c r="F17" s="269"/>
    </row>
    <row r="18" spans="2:6" ht="14.85" customHeight="1" x14ac:dyDescent="0.2">
      <c r="B18" s="266"/>
      <c r="C18" s="123"/>
      <c r="D18" s="269"/>
      <c r="E18" s="269"/>
      <c r="F18" s="269"/>
    </row>
    <row r="19" spans="2:6" ht="14.85" customHeight="1" x14ac:dyDescent="0.2">
      <c r="B19" s="266"/>
      <c r="C19" s="123"/>
      <c r="D19" s="269"/>
      <c r="E19" s="269"/>
      <c r="F19" s="269"/>
    </row>
    <row r="20" spans="2:6" ht="14.85" customHeight="1" x14ac:dyDescent="0.2">
      <c r="B20" s="266"/>
      <c r="C20" s="123"/>
      <c r="D20" s="269"/>
      <c r="E20" s="269"/>
      <c r="F20" s="269"/>
    </row>
    <row r="21" spans="2:6" ht="14.25" x14ac:dyDescent="0.2">
      <c r="B21" s="266"/>
      <c r="C21" s="123"/>
      <c r="D21" s="36"/>
      <c r="E21" s="263" t="s">
        <v>282</v>
      </c>
      <c r="F21" s="263"/>
    </row>
    <row r="22" spans="2:6" ht="14.25" x14ac:dyDescent="0.2">
      <c r="B22" s="266"/>
      <c r="C22" s="123"/>
      <c r="D22" s="36"/>
      <c r="E22" s="265">
        <v>44300</v>
      </c>
      <c r="F22" s="265"/>
    </row>
    <row r="23" spans="2:6" ht="14.25" customHeight="1" thickBot="1" x14ac:dyDescent="0.25">
      <c r="B23" s="266"/>
      <c r="C23" s="123"/>
      <c r="D23" s="36"/>
      <c r="E23" s="36"/>
      <c r="F23" s="36"/>
    </row>
    <row r="24" spans="2:6" ht="22.9" customHeight="1" x14ac:dyDescent="0.2">
      <c r="B24" s="266"/>
      <c r="C24" s="123"/>
      <c r="D24" s="254" t="s">
        <v>180</v>
      </c>
      <c r="E24" s="255"/>
      <c r="F24" s="256"/>
    </row>
    <row r="25" spans="2:6" ht="14.85" customHeight="1" x14ac:dyDescent="0.2">
      <c r="B25" s="250" t="s">
        <v>154</v>
      </c>
      <c r="C25" s="123"/>
      <c r="D25" s="257"/>
      <c r="E25" s="258"/>
      <c r="F25" s="259"/>
    </row>
    <row r="26" spans="2:6" ht="14.85" customHeight="1" x14ac:dyDescent="0.2">
      <c r="B26" s="250"/>
      <c r="C26" s="123"/>
      <c r="D26" s="257"/>
      <c r="E26" s="258"/>
      <c r="F26" s="259"/>
    </row>
    <row r="27" spans="2:6" ht="14.85" customHeight="1" x14ac:dyDescent="0.2">
      <c r="B27" s="250"/>
      <c r="C27" s="123"/>
      <c r="D27" s="251" t="s">
        <v>179</v>
      </c>
      <c r="E27" s="252"/>
      <c r="F27" s="253"/>
    </row>
    <row r="28" spans="2:6" ht="14.85" customHeight="1" x14ac:dyDescent="0.2">
      <c r="B28" s="250"/>
      <c r="C28" s="123"/>
      <c r="D28" s="251"/>
      <c r="E28" s="252"/>
      <c r="F28" s="253"/>
    </row>
    <row r="29" spans="2:6" ht="14.85" customHeight="1" x14ac:dyDescent="0.2">
      <c r="B29" s="250"/>
      <c r="C29" s="123"/>
      <c r="D29" s="251" t="s">
        <v>181</v>
      </c>
      <c r="E29" s="252"/>
      <c r="F29" s="253"/>
    </row>
    <row r="30" spans="2:6" ht="13.15" customHeight="1" x14ac:dyDescent="0.2">
      <c r="B30" s="250"/>
      <c r="C30" s="123"/>
      <c r="D30" s="251"/>
      <c r="E30" s="252"/>
      <c r="F30" s="253"/>
    </row>
    <row r="31" spans="2:6" ht="13.15" customHeight="1" x14ac:dyDescent="0.2">
      <c r="B31" s="250" t="s">
        <v>155</v>
      </c>
      <c r="C31" s="123"/>
      <c r="D31" s="251"/>
      <c r="E31" s="252"/>
      <c r="F31" s="253"/>
    </row>
    <row r="32" spans="2:6" ht="13.15" customHeight="1" x14ac:dyDescent="0.2">
      <c r="B32" s="250"/>
      <c r="C32" s="123"/>
      <c r="D32" s="251"/>
      <c r="E32" s="252"/>
      <c r="F32" s="253"/>
    </row>
    <row r="33" spans="2:6" ht="13.15" customHeight="1" x14ac:dyDescent="0.2">
      <c r="B33" s="250"/>
      <c r="C33" s="123"/>
      <c r="D33" s="251"/>
      <c r="E33" s="252"/>
      <c r="F33" s="253"/>
    </row>
    <row r="34" spans="2:6" ht="12.75" customHeight="1" x14ac:dyDescent="0.2">
      <c r="B34" s="250"/>
      <c r="C34" s="124"/>
      <c r="D34" s="251"/>
      <c r="E34" s="252"/>
      <c r="F34" s="253"/>
    </row>
    <row r="35" spans="2:6" ht="69.599999999999994" customHeight="1" thickBot="1" x14ac:dyDescent="0.25">
      <c r="B35" s="250"/>
      <c r="C35" s="124"/>
      <c r="D35" s="260"/>
      <c r="E35" s="261"/>
      <c r="F35" s="262"/>
    </row>
    <row r="36" spans="2:6" ht="84.4" customHeight="1" x14ac:dyDescent="0.2">
      <c r="B36" s="250"/>
      <c r="C36" s="124"/>
    </row>
    <row r="37" spans="2:6" ht="119.85" customHeight="1" x14ac:dyDescent="0.2">
      <c r="B37" s="36" t="s">
        <v>160</v>
      </c>
      <c r="C37" s="124"/>
    </row>
    <row r="38" spans="2:6" ht="172.35" customHeight="1" x14ac:dyDescent="0.2">
      <c r="B38" s="36" t="s">
        <v>156</v>
      </c>
      <c r="C38" s="124"/>
    </row>
    <row r="39" spans="2:6" ht="80.25" customHeight="1" x14ac:dyDescent="0.2">
      <c r="B39" s="36" t="s">
        <v>161</v>
      </c>
      <c r="C39" s="124"/>
    </row>
    <row r="40" spans="2:6" ht="172.5" thickBot="1" x14ac:dyDescent="0.25">
      <c r="B40" s="36" t="s">
        <v>157</v>
      </c>
      <c r="C40" s="124"/>
    </row>
    <row r="41" spans="2:6" ht="72" x14ac:dyDescent="0.2">
      <c r="B41" s="36" t="s">
        <v>158</v>
      </c>
      <c r="C41" s="87"/>
      <c r="D41" s="88"/>
    </row>
    <row r="42" spans="2:6" ht="13.5" thickBot="1" x14ac:dyDescent="0.25">
      <c r="C42" s="90"/>
      <c r="D42" s="91"/>
    </row>
    <row r="43" spans="2:6" ht="14.85" customHeight="1" x14ac:dyDescent="0.25">
      <c r="B43" s="146" t="s">
        <v>82</v>
      </c>
      <c r="C43" s="92"/>
      <c r="D43" s="93"/>
    </row>
    <row r="44" spans="2:6" ht="14.25" x14ac:dyDescent="0.2">
      <c r="B44" s="89"/>
      <c r="C44" s="92"/>
      <c r="D44" s="93"/>
    </row>
    <row r="45" spans="2:6" ht="12.95" customHeight="1" x14ac:dyDescent="0.2">
      <c r="B45" s="147" t="s">
        <v>52</v>
      </c>
      <c r="C45" s="170"/>
      <c r="D45" s="171"/>
    </row>
    <row r="46" spans="2:6" ht="12.95" customHeight="1" x14ac:dyDescent="0.2">
      <c r="B46" s="126"/>
      <c r="C46" s="170"/>
      <c r="D46" s="171"/>
    </row>
    <row r="47" spans="2:6" ht="12.75" customHeight="1" x14ac:dyDescent="0.2">
      <c r="B47" s="169" t="s">
        <v>54</v>
      </c>
      <c r="C47" s="167"/>
      <c r="D47" s="168"/>
    </row>
    <row r="48" spans="2:6" ht="12.75" customHeight="1" x14ac:dyDescent="0.2">
      <c r="B48" s="169"/>
      <c r="C48" s="167"/>
      <c r="D48" s="168"/>
    </row>
    <row r="49" spans="2:4" ht="14.85" customHeight="1" x14ac:dyDescent="0.2">
      <c r="B49" s="166" t="s">
        <v>81</v>
      </c>
      <c r="C49" s="167"/>
      <c r="D49" s="168"/>
    </row>
    <row r="50" spans="2:4" ht="14.25" x14ac:dyDescent="0.2">
      <c r="B50" s="166"/>
      <c r="C50" s="95"/>
      <c r="D50" s="96"/>
    </row>
    <row r="51" spans="2:4" ht="14.25" x14ac:dyDescent="0.2">
      <c r="B51" s="166"/>
      <c r="C51" s="92"/>
      <c r="D51" s="93"/>
    </row>
    <row r="52" spans="2:4" ht="14.25" x14ac:dyDescent="0.2">
      <c r="B52" s="94"/>
      <c r="C52" s="92"/>
      <c r="D52" s="93"/>
    </row>
    <row r="53" spans="2:4" ht="14.85" customHeight="1" x14ac:dyDescent="0.2">
      <c r="B53" s="148" t="s">
        <v>55</v>
      </c>
      <c r="C53" s="173"/>
      <c r="D53" s="97"/>
    </row>
    <row r="54" spans="2:4" ht="14.25" x14ac:dyDescent="0.2">
      <c r="B54" s="127"/>
      <c r="C54" s="173"/>
      <c r="D54" s="97"/>
    </row>
    <row r="55" spans="2:4" ht="57.75" x14ac:dyDescent="0.2">
      <c r="B55" s="172" t="s">
        <v>56</v>
      </c>
      <c r="C55" s="173"/>
      <c r="D55" s="97"/>
    </row>
    <row r="56" spans="2:4" ht="14.25" x14ac:dyDescent="0.2">
      <c r="B56" s="172"/>
      <c r="C56" s="173"/>
      <c r="D56" s="97"/>
    </row>
    <row r="57" spans="2:4" ht="14.25" x14ac:dyDescent="0.2">
      <c r="B57" s="172"/>
      <c r="C57" s="173"/>
      <c r="D57" s="97"/>
    </row>
    <row r="58" spans="2:4" ht="14.25" x14ac:dyDescent="0.2">
      <c r="B58" s="172"/>
      <c r="C58" s="129"/>
      <c r="D58" s="97"/>
    </row>
    <row r="59" spans="2:4" ht="14.85" customHeight="1" x14ac:dyDescent="0.2">
      <c r="B59" s="174" t="s">
        <v>99</v>
      </c>
      <c r="C59" s="173"/>
      <c r="D59" s="97"/>
    </row>
    <row r="60" spans="2:4" ht="14.25" x14ac:dyDescent="0.2">
      <c r="B60" s="128"/>
      <c r="C60" s="173"/>
      <c r="D60" s="97"/>
    </row>
    <row r="61" spans="2:4" ht="28.5" x14ac:dyDescent="0.2">
      <c r="B61" s="172" t="s">
        <v>53</v>
      </c>
      <c r="C61" s="90"/>
      <c r="D61" s="91"/>
    </row>
    <row r="62" spans="2:4" ht="12.95" customHeight="1" x14ac:dyDescent="0.2">
      <c r="B62" s="172"/>
      <c r="C62" s="167"/>
      <c r="D62" s="168"/>
    </row>
    <row r="63" spans="2:4" ht="12.95" customHeight="1" x14ac:dyDescent="0.2">
      <c r="B63" s="89"/>
      <c r="C63" s="167"/>
      <c r="D63" s="168"/>
    </row>
    <row r="64" spans="2:4" ht="12.95" customHeight="1" x14ac:dyDescent="0.2">
      <c r="B64" s="166" t="s">
        <v>80</v>
      </c>
      <c r="C64" s="167"/>
      <c r="D64" s="168"/>
    </row>
    <row r="65" spans="2:4" ht="36.6" customHeight="1" x14ac:dyDescent="0.2">
      <c r="B65" s="166"/>
      <c r="C65" s="167"/>
      <c r="D65" s="168"/>
    </row>
    <row r="66" spans="2:4" ht="15" thickBot="1" x14ac:dyDescent="0.25">
      <c r="B66" s="166"/>
      <c r="C66" s="99"/>
      <c r="D66" s="100"/>
    </row>
    <row r="67" spans="2:4" ht="14.25" x14ac:dyDescent="0.2">
      <c r="B67" s="166"/>
    </row>
    <row r="68" spans="2:4" ht="13.5" thickBot="1" x14ac:dyDescent="0.25">
      <c r="B68" s="98"/>
    </row>
  </sheetData>
  <mergeCells count="12">
    <mergeCell ref="E21:F21"/>
    <mergeCell ref="B13:B14"/>
    <mergeCell ref="E22:F22"/>
    <mergeCell ref="B16:B24"/>
    <mergeCell ref="F1:F3"/>
    <mergeCell ref="D8:F20"/>
    <mergeCell ref="B4:B9"/>
    <mergeCell ref="B25:B30"/>
    <mergeCell ref="B31:B36"/>
    <mergeCell ref="D27:F28"/>
    <mergeCell ref="D24:F26"/>
    <mergeCell ref="D29:F35"/>
  </mergeCells>
  <hyperlinks>
    <hyperlink ref="B59" r:id="rId1" xr:uid="{00000000-0004-0000-0000-000000000000}"/>
  </hyperlinks>
  <pageMargins left="0.7" right="0.7" top="0.78740157499999996" bottom="0.78740157499999996" header="0.3" footer="0.3"/>
  <pageSetup paperSize="9" scale="52"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1" id="{84904345-8DDF-436B-BD5E-D5BA669D7300}">
            <xm:f>(Stammdaten!$B$1="Schweiz")</xm:f>
            <x14:dxf>
              <fill>
                <patternFill>
                  <bgColor rgb="FFFF0000"/>
                </patternFill>
              </fill>
              <border>
                <left/>
                <right/>
                <top/>
                <bottom/>
                <vertical/>
                <horizontal/>
              </border>
            </x14:dxf>
          </x14:cfRule>
          <xm:sqref>F1:F3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tabColor theme="7" tint="0.59999389629810485"/>
    <pageSetUpPr fitToPage="1"/>
  </sheetPr>
  <dimension ref="A1:L45"/>
  <sheetViews>
    <sheetView showGridLines="0" zoomScale="90" zoomScaleNormal="90" workbookViewId="0">
      <selection activeCell="C9" sqref="C9"/>
    </sheetView>
  </sheetViews>
  <sheetFormatPr baseColWidth="10" defaultRowHeight="12.75" x14ac:dyDescent="0.2"/>
  <cols>
    <col min="2" max="2" width="54.42578125" customWidth="1"/>
    <col min="3" max="3" width="34.7109375" style="179" bestFit="1" customWidth="1"/>
    <col min="4" max="4" width="117.7109375" customWidth="1"/>
    <col min="5" max="10" width="11.5703125" style="35" customWidth="1"/>
    <col min="11" max="13" width="11.5703125" customWidth="1"/>
  </cols>
  <sheetData>
    <row r="1" spans="1:4" ht="15.75" x14ac:dyDescent="0.25">
      <c r="A1" s="197" t="s">
        <v>7</v>
      </c>
      <c r="B1" s="197"/>
      <c r="C1" s="201"/>
      <c r="D1" s="197"/>
    </row>
    <row r="2" spans="1:4" ht="15.75" x14ac:dyDescent="0.25">
      <c r="A2" s="37"/>
      <c r="B2" s="37"/>
      <c r="C2" s="202"/>
      <c r="D2" s="37"/>
    </row>
    <row r="4" spans="1:4" ht="15" x14ac:dyDescent="0.25">
      <c r="A4" s="198" t="s">
        <v>2</v>
      </c>
      <c r="B4" s="199"/>
      <c r="C4" s="203"/>
      <c r="D4" s="200"/>
    </row>
    <row r="5" spans="1:4" ht="15" x14ac:dyDescent="0.25">
      <c r="A5" s="285" t="s">
        <v>4</v>
      </c>
      <c r="B5" s="286"/>
      <c r="C5" s="204" t="s">
        <v>5</v>
      </c>
      <c r="D5" s="7" t="s">
        <v>6</v>
      </c>
    </row>
    <row r="6" spans="1:4" ht="14.25" x14ac:dyDescent="0.2">
      <c r="A6" s="273" t="s">
        <v>29</v>
      </c>
      <c r="B6" s="273"/>
      <c r="C6" s="38">
        <v>0.7</v>
      </c>
      <c r="D6" s="150"/>
    </row>
    <row r="7" spans="1:4" ht="14.25" x14ac:dyDescent="0.2">
      <c r="A7" s="273" t="s">
        <v>162</v>
      </c>
      <c r="B7" s="273"/>
      <c r="C7" s="38">
        <v>0.55000000000000004</v>
      </c>
      <c r="D7" s="150" t="s">
        <v>251</v>
      </c>
    </row>
    <row r="8" spans="1:4" ht="14.25" x14ac:dyDescent="0.2">
      <c r="A8" s="273" t="s">
        <v>1</v>
      </c>
      <c r="B8" s="273"/>
      <c r="C8" s="38">
        <v>0.14000000000000001</v>
      </c>
      <c r="D8" s="243" t="s">
        <v>263</v>
      </c>
    </row>
    <row r="9" spans="1:4" ht="14.25" x14ac:dyDescent="0.2">
      <c r="A9" s="273" t="s">
        <v>199</v>
      </c>
      <c r="B9" s="273"/>
      <c r="C9" s="165">
        <f>8%*C8</f>
        <v>1.1200000000000002E-2</v>
      </c>
      <c r="D9" s="8" t="s">
        <v>264</v>
      </c>
    </row>
    <row r="10" spans="1:4" ht="14.25" x14ac:dyDescent="0.2">
      <c r="A10" s="273" t="s">
        <v>182</v>
      </c>
      <c r="B10" s="273"/>
      <c r="C10" s="165">
        <f>49%*C9</f>
        <v>5.4880000000000007E-3</v>
      </c>
      <c r="D10" s="175" t="s">
        <v>262</v>
      </c>
    </row>
    <row r="11" spans="1:4" ht="14.25" x14ac:dyDescent="0.2">
      <c r="B11" s="20" t="s">
        <v>11</v>
      </c>
      <c r="C11" s="205">
        <f>C10*C9</f>
        <v>6.146560000000001E-5</v>
      </c>
      <c r="D11" s="21" t="s">
        <v>10</v>
      </c>
    </row>
    <row r="12" spans="1:4" ht="15" x14ac:dyDescent="0.25">
      <c r="A12" s="198" t="s">
        <v>3</v>
      </c>
      <c r="B12" s="199"/>
      <c r="C12" s="203"/>
      <c r="D12" s="200"/>
    </row>
    <row r="13" spans="1:4" ht="15" x14ac:dyDescent="0.25">
      <c r="A13" s="278" t="s">
        <v>4</v>
      </c>
      <c r="B13" s="278"/>
      <c r="C13" s="204" t="s">
        <v>5</v>
      </c>
      <c r="D13" s="7" t="s">
        <v>6</v>
      </c>
    </row>
    <row r="14" spans="1:4" ht="14.25" x14ac:dyDescent="0.2">
      <c r="A14" s="273" t="s">
        <v>221</v>
      </c>
      <c r="B14" s="273"/>
      <c r="C14" s="39">
        <v>7</v>
      </c>
      <c r="D14" s="8" t="s">
        <v>14</v>
      </c>
    </row>
    <row r="15" spans="1:4" ht="14.25" x14ac:dyDescent="0.2">
      <c r="A15" s="273" t="s">
        <v>222</v>
      </c>
      <c r="B15" s="273"/>
      <c r="C15" s="39">
        <v>15</v>
      </c>
      <c r="D15" s="8"/>
    </row>
    <row r="16" spans="1:4" ht="14.25" x14ac:dyDescent="0.2">
      <c r="A16" s="273" t="s">
        <v>223</v>
      </c>
      <c r="B16" s="273"/>
      <c r="C16" s="39">
        <v>6</v>
      </c>
      <c r="D16" s="185"/>
    </row>
    <row r="17" spans="1:12" ht="14.25" x14ac:dyDescent="0.2">
      <c r="A17" s="273" t="s">
        <v>185</v>
      </c>
      <c r="B17" s="273"/>
      <c r="C17" s="39">
        <v>15</v>
      </c>
      <c r="D17" s="175"/>
    </row>
    <row r="19" spans="1:12" ht="15" x14ac:dyDescent="0.25">
      <c r="A19" s="198" t="s">
        <v>8</v>
      </c>
      <c r="B19" s="199"/>
      <c r="C19" s="203"/>
      <c r="D19" s="200"/>
    </row>
    <row r="20" spans="1:12" ht="15" x14ac:dyDescent="0.25">
      <c r="A20" s="278" t="s">
        <v>4</v>
      </c>
      <c r="B20" s="278"/>
      <c r="C20" s="204" t="s">
        <v>5</v>
      </c>
      <c r="D20" s="7" t="s">
        <v>6</v>
      </c>
    </row>
    <row r="21" spans="1:12" ht="14.25" x14ac:dyDescent="0.2">
      <c r="A21" s="31" t="s">
        <v>9</v>
      </c>
      <c r="B21" s="31"/>
      <c r="C21" s="39">
        <v>20</v>
      </c>
      <c r="D21" s="23" t="s">
        <v>12</v>
      </c>
    </row>
    <row r="23" spans="1:12" ht="15" x14ac:dyDescent="0.25">
      <c r="A23" s="198" t="s">
        <v>58</v>
      </c>
      <c r="B23" s="199"/>
      <c r="C23" s="203"/>
      <c r="D23" s="200"/>
    </row>
    <row r="24" spans="1:12" ht="15" x14ac:dyDescent="0.25">
      <c r="A24" s="278" t="s">
        <v>4</v>
      </c>
      <c r="B24" s="278"/>
      <c r="C24" s="204" t="s">
        <v>16</v>
      </c>
      <c r="D24" s="7" t="s">
        <v>83</v>
      </c>
    </row>
    <row r="25" spans="1:12" ht="15" customHeight="1" x14ac:dyDescent="0.2">
      <c r="A25" s="279" t="s">
        <v>15</v>
      </c>
      <c r="B25" s="22" t="s">
        <v>18</v>
      </c>
      <c r="C25" s="40">
        <v>6</v>
      </c>
      <c r="D25" s="23"/>
      <c r="K25" s="81"/>
      <c r="L25" s="81"/>
    </row>
    <row r="26" spans="1:12" ht="15" customHeight="1" x14ac:dyDescent="0.2">
      <c r="A26" s="279"/>
      <c r="B26" s="22" t="s">
        <v>19</v>
      </c>
      <c r="C26" s="40">
        <v>10</v>
      </c>
      <c r="D26" s="23"/>
      <c r="K26" s="81"/>
      <c r="L26" s="81"/>
    </row>
    <row r="27" spans="1:12" ht="15" customHeight="1" x14ac:dyDescent="0.2">
      <c r="A27" s="279"/>
      <c r="B27" s="3" t="s">
        <v>21</v>
      </c>
      <c r="C27" s="41" t="s">
        <v>22</v>
      </c>
      <c r="D27" s="34" t="s">
        <v>163</v>
      </c>
      <c r="E27" s="177">
        <f>IF(C27=J27,2,1)</f>
        <v>2</v>
      </c>
      <c r="F27" s="177">
        <f>IF(C27=J27,7.7,12)</f>
        <v>7.7</v>
      </c>
      <c r="G27" s="177">
        <f>IF(C27=J27,10,12)</f>
        <v>10</v>
      </c>
      <c r="H27" s="177"/>
      <c r="I27" s="177"/>
      <c r="J27" s="177" t="s">
        <v>22</v>
      </c>
      <c r="K27" s="81"/>
      <c r="L27" s="81"/>
    </row>
    <row r="28" spans="1:12" ht="15" customHeight="1" x14ac:dyDescent="0.2">
      <c r="A28" s="280" t="s">
        <v>17</v>
      </c>
      <c r="B28" s="32" t="s">
        <v>18</v>
      </c>
      <c r="C28" s="40">
        <v>2.5</v>
      </c>
      <c r="D28" s="33"/>
      <c r="E28" s="177"/>
      <c r="H28" s="177"/>
      <c r="I28" s="177"/>
      <c r="J28" s="177" t="s">
        <v>183</v>
      </c>
      <c r="K28" s="81"/>
      <c r="L28" s="81"/>
    </row>
    <row r="29" spans="1:12" ht="15" customHeight="1" x14ac:dyDescent="0.2">
      <c r="A29" s="281"/>
      <c r="B29" s="32" t="s">
        <v>19</v>
      </c>
      <c r="C29" s="40">
        <v>3.5</v>
      </c>
      <c r="D29" s="33"/>
      <c r="E29" s="177"/>
      <c r="F29" s="177"/>
      <c r="G29" s="177"/>
      <c r="H29" s="177"/>
      <c r="I29" s="177"/>
      <c r="J29" s="177"/>
      <c r="K29" s="81"/>
      <c r="L29" s="81"/>
    </row>
    <row r="30" spans="1:12" ht="15" customHeight="1" x14ac:dyDescent="0.2">
      <c r="A30" s="282"/>
      <c r="B30" s="32" t="s">
        <v>21</v>
      </c>
      <c r="C30" s="41" t="s">
        <v>22</v>
      </c>
      <c r="D30" s="57" t="s">
        <v>163</v>
      </c>
      <c r="E30" s="177">
        <f>IF(C30=J27,2,1)</f>
        <v>2</v>
      </c>
      <c r="F30" s="177">
        <f>IF(C30=J27,7.7,10)</f>
        <v>7.7</v>
      </c>
      <c r="G30" s="177">
        <f>IF(C30=J27,9.5,12)</f>
        <v>9.5</v>
      </c>
      <c r="H30" s="177"/>
      <c r="I30" s="177"/>
      <c r="J30" s="177"/>
      <c r="K30" s="81"/>
      <c r="L30" s="81"/>
    </row>
    <row r="31" spans="1:12" x14ac:dyDescent="0.2">
      <c r="K31" s="81"/>
      <c r="L31" s="81"/>
    </row>
    <row r="32" spans="1:12" ht="15" x14ac:dyDescent="0.25">
      <c r="A32" s="198" t="s">
        <v>69</v>
      </c>
      <c r="B32" s="199"/>
      <c r="C32" s="203"/>
      <c r="D32" s="200"/>
      <c r="K32" s="81"/>
      <c r="L32" s="81"/>
    </row>
    <row r="33" spans="1:12" ht="15" x14ac:dyDescent="0.25">
      <c r="A33" s="278" t="s">
        <v>4</v>
      </c>
      <c r="B33" s="278"/>
      <c r="C33" s="204" t="s">
        <v>16</v>
      </c>
      <c r="D33" s="102" t="s">
        <v>6</v>
      </c>
      <c r="K33" s="81"/>
      <c r="L33" s="81"/>
    </row>
    <row r="34" spans="1:12" ht="15" customHeight="1" x14ac:dyDescent="0.2">
      <c r="A34" s="279" t="s">
        <v>15</v>
      </c>
      <c r="B34" s="22" t="s">
        <v>72</v>
      </c>
      <c r="C34" s="40">
        <v>24</v>
      </c>
      <c r="D34" s="23"/>
      <c r="K34" s="81"/>
      <c r="L34" s="81"/>
    </row>
    <row r="35" spans="1:12" ht="15" customHeight="1" x14ac:dyDescent="0.2">
      <c r="A35" s="279"/>
      <c r="B35" s="22" t="s">
        <v>71</v>
      </c>
      <c r="C35" s="40">
        <v>36</v>
      </c>
      <c r="D35" s="109"/>
      <c r="K35" s="81"/>
      <c r="L35" s="81"/>
    </row>
    <row r="36" spans="1:12" ht="15" customHeight="1" x14ac:dyDescent="0.2">
      <c r="A36" s="279"/>
      <c r="B36" s="3" t="s">
        <v>21</v>
      </c>
      <c r="C36" s="41" t="s">
        <v>59</v>
      </c>
      <c r="D36" s="34" t="s">
        <v>163</v>
      </c>
      <c r="E36" s="177">
        <f>IF(C36=J37,2,1)</f>
        <v>1</v>
      </c>
      <c r="F36" s="177">
        <f>IF(E36=2,8,12)</f>
        <v>12</v>
      </c>
      <c r="G36" s="177"/>
      <c r="H36" s="177"/>
      <c r="I36" s="177"/>
      <c r="K36" s="81"/>
      <c r="L36" s="81"/>
    </row>
    <row r="37" spans="1:12" ht="15" customHeight="1" x14ac:dyDescent="0.2">
      <c r="A37" s="280" t="s">
        <v>17</v>
      </c>
      <c r="B37" s="32" t="s">
        <v>60</v>
      </c>
      <c r="C37" s="41">
        <v>24</v>
      </c>
      <c r="D37" s="283" t="s">
        <v>73</v>
      </c>
      <c r="E37" s="177"/>
      <c r="F37" s="177"/>
      <c r="G37" s="177"/>
      <c r="H37" s="177"/>
      <c r="I37" s="177"/>
      <c r="J37" s="177" t="s">
        <v>184</v>
      </c>
      <c r="K37" s="81"/>
      <c r="L37" s="81"/>
    </row>
    <row r="38" spans="1:12" ht="15" customHeight="1" x14ac:dyDescent="0.2">
      <c r="A38" s="281"/>
      <c r="B38" s="32" t="s">
        <v>61</v>
      </c>
      <c r="C38" s="40">
        <v>12</v>
      </c>
      <c r="D38" s="284"/>
      <c r="E38" s="177"/>
      <c r="H38" s="177"/>
      <c r="I38" s="177"/>
      <c r="J38" s="177" t="s">
        <v>183</v>
      </c>
      <c r="K38" s="81"/>
      <c r="L38" s="81"/>
    </row>
    <row r="39" spans="1:12" ht="15" customHeight="1" x14ac:dyDescent="0.2">
      <c r="A39" s="282"/>
      <c r="B39" s="32" t="s">
        <v>21</v>
      </c>
      <c r="C39" s="41" t="s">
        <v>59</v>
      </c>
      <c r="D39" s="57" t="s">
        <v>163</v>
      </c>
      <c r="E39" s="177">
        <f>IF(C39=J37,3,2)</f>
        <v>2</v>
      </c>
      <c r="F39" s="177"/>
      <c r="G39" s="177"/>
      <c r="H39" s="177"/>
      <c r="I39" s="177"/>
      <c r="J39" s="177"/>
      <c r="K39" s="81"/>
      <c r="L39" s="81"/>
    </row>
    <row r="40" spans="1:12" ht="14.85" customHeight="1" x14ac:dyDescent="0.2">
      <c r="A40" s="274" t="s">
        <v>198</v>
      </c>
      <c r="B40" s="274"/>
      <c r="C40" s="275">
        <v>0.64</v>
      </c>
      <c r="D40" s="277" t="s">
        <v>64</v>
      </c>
      <c r="K40" s="81"/>
      <c r="L40" s="81"/>
    </row>
    <row r="41" spans="1:12" ht="26.25" customHeight="1" x14ac:dyDescent="0.2">
      <c r="A41" s="274"/>
      <c r="B41" s="274"/>
      <c r="C41" s="276"/>
      <c r="D41" s="277"/>
      <c r="K41" s="81"/>
      <c r="L41" s="81"/>
    </row>
    <row r="43" spans="1:12" ht="15" x14ac:dyDescent="0.25">
      <c r="A43" s="198" t="s">
        <v>254</v>
      </c>
      <c r="B43" s="199"/>
      <c r="C43" s="203"/>
      <c r="D43" s="200"/>
    </row>
    <row r="44" spans="1:12" ht="15" x14ac:dyDescent="0.25">
      <c r="A44" s="285" t="s">
        <v>4</v>
      </c>
      <c r="B44" s="286"/>
      <c r="C44" s="204" t="s">
        <v>5</v>
      </c>
      <c r="D44" s="225" t="s">
        <v>6</v>
      </c>
    </row>
    <row r="45" spans="1:12" ht="14.25" x14ac:dyDescent="0.2">
      <c r="A45" s="273" t="s">
        <v>255</v>
      </c>
      <c r="B45" s="273"/>
      <c r="C45" s="228">
        <v>44030</v>
      </c>
      <c r="D45" s="224"/>
    </row>
  </sheetData>
  <sheetProtection password="8C78" sheet="1" objects="1" scenarios="1"/>
  <mergeCells count="24">
    <mergeCell ref="A44:B44"/>
    <mergeCell ref="A45:B45"/>
    <mergeCell ref="A5:B5"/>
    <mergeCell ref="A7:B7"/>
    <mergeCell ref="A6:B6"/>
    <mergeCell ref="A16:B16"/>
    <mergeCell ref="A28:A30"/>
    <mergeCell ref="A24:B24"/>
    <mergeCell ref="A20:B20"/>
    <mergeCell ref="A25:A27"/>
    <mergeCell ref="A14:B14"/>
    <mergeCell ref="A15:B15"/>
    <mergeCell ref="A17:B17"/>
    <mergeCell ref="A13:B13"/>
    <mergeCell ref="A8:B8"/>
    <mergeCell ref="A9:B9"/>
    <mergeCell ref="A10:B10"/>
    <mergeCell ref="A40:B41"/>
    <mergeCell ref="C40:C41"/>
    <mergeCell ref="D40:D41"/>
    <mergeCell ref="A33:B33"/>
    <mergeCell ref="A34:A36"/>
    <mergeCell ref="A37:A39"/>
    <mergeCell ref="D37:D38"/>
  </mergeCells>
  <dataValidations count="2">
    <dataValidation type="list" allowBlank="1" showInputMessage="1" showErrorMessage="1" sqref="C27 C30" xr:uid="{00000000-0002-0000-0100-000000000000}">
      <formula1>$J$27:$J$28</formula1>
    </dataValidation>
    <dataValidation type="list" allowBlank="1" showInputMessage="1" showErrorMessage="1" sqref="C39 C36" xr:uid="{00000000-0002-0000-0100-000001000000}">
      <formula1>$J$37:$J$38</formula1>
    </dataValidation>
  </dataValidations>
  <pageMargins left="0.7" right="0.7" top="0.78740157499999996" bottom="0.78740157499999996" header="0.3" footer="0.3"/>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AD19"/>
  <sheetViews>
    <sheetView showGridLines="0" zoomScale="94" zoomScaleNormal="94" zoomScaleSheetLayoutView="70" zoomScalePageLayoutView="30" workbookViewId="0">
      <selection activeCell="C10" sqref="C10:F10"/>
    </sheetView>
  </sheetViews>
  <sheetFormatPr baseColWidth="10" defaultColWidth="11.42578125" defaultRowHeight="14.25" x14ac:dyDescent="0.2"/>
  <cols>
    <col min="1" max="1" width="22" style="1" customWidth="1"/>
    <col min="2" max="2" width="7" style="1" customWidth="1"/>
    <col min="3" max="3" width="18.28515625" style="195" customWidth="1"/>
    <col min="4" max="4" width="1.85546875" style="196" customWidth="1"/>
    <col min="5" max="5" width="1.28515625" style="195" customWidth="1"/>
    <col min="6" max="6" width="12.7109375" style="195" customWidth="1"/>
    <col min="7" max="7" width="16.140625" style="1" customWidth="1"/>
    <col min="8" max="8" width="21" style="1" customWidth="1"/>
    <col min="9" max="9" width="22.28515625" style="1" customWidth="1"/>
    <col min="10" max="10" width="21" style="1" customWidth="1"/>
    <col min="11" max="11" width="1.28515625" style="1" customWidth="1"/>
    <col min="12" max="12" width="7.5703125" style="1" customWidth="1"/>
    <col min="13" max="13" width="5.7109375" style="1" customWidth="1"/>
    <col min="14" max="14" width="28.28515625" style="1" customWidth="1"/>
    <col min="15" max="15" width="10.7109375" style="1" customWidth="1"/>
    <col min="16" max="16" width="20" style="1" customWidth="1"/>
    <col min="17" max="17" width="2.140625" style="245" customWidth="1"/>
    <col min="18" max="18" width="21" style="42" customWidth="1"/>
    <col min="19" max="19" width="1.28515625" style="42" customWidth="1"/>
    <col min="20" max="20" width="3.42578125" style="230" customWidth="1"/>
    <col min="21" max="21" width="21.7109375" style="42" bestFit="1" customWidth="1"/>
    <col min="22" max="24" width="21.85546875" style="42" customWidth="1"/>
    <col min="25" max="26" width="19.5703125" style="42" customWidth="1"/>
    <col min="27" max="27" width="19.140625" style="42" customWidth="1"/>
    <col min="28" max="30" width="11.42578125" style="42"/>
    <col min="31" max="16384" width="11.42578125" style="1"/>
  </cols>
  <sheetData>
    <row r="1" spans="1:30" ht="5.85" customHeight="1" x14ac:dyDescent="0.25">
      <c r="B1" s="186"/>
      <c r="C1" s="190"/>
      <c r="D1" s="190"/>
      <c r="E1" s="190"/>
      <c r="F1" s="190"/>
      <c r="G1" s="186"/>
      <c r="H1" s="186"/>
      <c r="I1" s="186"/>
      <c r="J1" s="186"/>
      <c r="O1" s="267" t="s">
        <v>120</v>
      </c>
      <c r="S1" s="230"/>
      <c r="T1" s="42"/>
      <c r="U1" s="207" t="s">
        <v>111</v>
      </c>
      <c r="V1" s="207" t="s">
        <v>100</v>
      </c>
      <c r="W1" s="207" t="s">
        <v>112</v>
      </c>
      <c r="X1" s="207" t="s">
        <v>174</v>
      </c>
      <c r="Y1" s="207" t="s">
        <v>101</v>
      </c>
      <c r="Z1" s="207" t="s">
        <v>274</v>
      </c>
      <c r="AA1" s="207" t="s">
        <v>102</v>
      </c>
      <c r="AB1" s="207" t="s">
        <v>103</v>
      </c>
      <c r="AC1" s="207" t="s">
        <v>213</v>
      </c>
      <c r="AD1" s="207" t="s">
        <v>270</v>
      </c>
    </row>
    <row r="2" spans="1:30" s="188" customFormat="1" ht="24.75" customHeight="1" x14ac:dyDescent="0.2">
      <c r="A2" s="187" t="str">
        <f>"Covid-19-Szenario-Rechner für den Strukturbedarf in "&amp;_Krankenhäusern&amp;": Prognoseparameter"</f>
        <v>Covid-19-Szenario-Rechner für den Strukturbedarf in Spitälern: Prognoseparameter</v>
      </c>
      <c r="B2" s="187"/>
      <c r="C2" s="191"/>
      <c r="D2" s="191"/>
      <c r="E2" s="191"/>
      <c r="F2" s="191"/>
      <c r="G2" s="187"/>
      <c r="H2" s="187"/>
      <c r="I2" s="187"/>
      <c r="J2" s="187"/>
      <c r="O2" s="268"/>
      <c r="Q2" s="246"/>
      <c r="R2" s="189"/>
      <c r="S2" s="231"/>
      <c r="T2" s="189"/>
      <c r="U2" s="189"/>
      <c r="V2" s="189" t="s">
        <v>137</v>
      </c>
      <c r="W2" s="189" t="s">
        <v>113</v>
      </c>
      <c r="X2" s="232" t="s">
        <v>175</v>
      </c>
      <c r="Y2" s="189" t="s">
        <v>91</v>
      </c>
      <c r="Z2" s="42" t="str">
        <f>_Bundesweit&amp;": 7-Tage-Wachstumsrate"</f>
        <v>Schweizweit: 7-Tage-Wachstumsrate</v>
      </c>
      <c r="AA2" s="189" t="s">
        <v>78</v>
      </c>
      <c r="AB2" s="189" t="s">
        <v>104</v>
      </c>
      <c r="AC2" s="189" t="s">
        <v>268</v>
      </c>
      <c r="AD2" s="189" t="s">
        <v>272</v>
      </c>
    </row>
    <row r="3" spans="1:30" ht="14.85" customHeight="1" x14ac:dyDescent="0.2">
      <c r="A3" s="334">
        <f>'Beschreibung &amp; Aktualisierung'!E22</f>
        <v>44300</v>
      </c>
      <c r="B3" s="334"/>
      <c r="C3" s="192"/>
      <c r="D3" s="192"/>
      <c r="E3" s="192"/>
      <c r="F3" s="192"/>
      <c r="G3" s="58"/>
      <c r="O3" s="268"/>
      <c r="P3" s="130"/>
      <c r="S3" s="230"/>
      <c r="T3" s="42"/>
      <c r="V3" s="42" t="s">
        <v>140</v>
      </c>
      <c r="W3" s="42" t="s">
        <v>114</v>
      </c>
      <c r="X3" s="233" t="s">
        <v>176</v>
      </c>
      <c r="Y3" s="42" t="str">
        <f>_Bundesweit&amp;": Dynamische Wachstumsrate"</f>
        <v>Schweizweit: Dynamische Wachstumsrate</v>
      </c>
      <c r="Z3" s="42" t="str">
        <f>_Bundesweit&amp;": Reduzierte 7-Tage-Wachstumsrate"</f>
        <v>Schweizweit: Reduzierte 7-Tage-Wachstumsrate</v>
      </c>
      <c r="AA3" s="42" t="s">
        <v>115</v>
      </c>
      <c r="AB3" s="42" t="s">
        <v>105</v>
      </c>
      <c r="AC3" s="42" t="s">
        <v>269</v>
      </c>
      <c r="AD3" s="42" t="s">
        <v>271</v>
      </c>
    </row>
    <row r="4" spans="1:30" ht="14.85" customHeight="1" x14ac:dyDescent="0.2">
      <c r="A4" s="75"/>
      <c r="B4" s="75"/>
      <c r="C4" s="193"/>
      <c r="D4" s="193"/>
      <c r="E4" s="193"/>
      <c r="F4" s="193"/>
      <c r="G4" s="75"/>
      <c r="H4" s="75"/>
      <c r="I4" s="75"/>
      <c r="J4" s="75"/>
      <c r="K4" s="46"/>
      <c r="L4" s="46"/>
      <c r="M4" s="46"/>
      <c r="P4" s="130"/>
      <c r="Q4" s="247"/>
      <c r="R4" s="234"/>
      <c r="S4" s="234"/>
      <c r="T4" s="235"/>
      <c r="V4" s="42" t="s">
        <v>138</v>
      </c>
      <c r="W4" s="42" t="s">
        <v>139</v>
      </c>
      <c r="X4" s="233" t="s">
        <v>176</v>
      </c>
      <c r="Y4" s="42" t="str">
        <f>_Bundesweit&amp;": Halbierte dynamische Wachstumsrate"</f>
        <v>Schweizweit: Halbierte dynamische Wachstumsrate</v>
      </c>
      <c r="Z4" s="42" t="s">
        <v>275</v>
      </c>
      <c r="AA4" s="42" t="str">
        <f>"Hinterlegen Sie im Tabellenblatt "&amp;CHAR(34)&amp;"Fallzahlen (Berechnung)"&amp;CHAR(34)&amp;" den Fallzahlzuwachs für die letzten "&amp;Stammdaten!C7&amp;" bis "&amp;Stammdaten!C8&amp;" Tage oder wählen Sie eine andere Wachstumsrate!"</f>
        <v>Hinterlegen Sie im Tabellenblatt "Fallzahlen (Berechnung)" den Fallzahlzuwachs für die letzten vier bis sieben Tage oder wählen Sie eine andere Wachstumsrate!</v>
      </c>
      <c r="AC4" s="42" t="s">
        <v>214</v>
      </c>
      <c r="AD4" s="42" t="s">
        <v>273</v>
      </c>
    </row>
    <row r="5" spans="1:30" ht="14.85" customHeight="1" x14ac:dyDescent="0.2">
      <c r="A5" s="75"/>
      <c r="B5" s="75"/>
      <c r="C5" s="193"/>
      <c r="D5" s="193"/>
      <c r="E5" s="193"/>
      <c r="F5" s="193"/>
      <c r="G5" s="75"/>
      <c r="H5" s="75"/>
      <c r="I5" s="75"/>
      <c r="J5" s="75"/>
      <c r="K5" s="46"/>
      <c r="L5" s="46"/>
      <c r="M5" s="46"/>
      <c r="P5" s="131"/>
      <c r="Q5" s="247"/>
      <c r="R5" s="234"/>
      <c r="S5" s="234"/>
      <c r="T5" s="235"/>
      <c r="Y5" s="42" t="str">
        <f>_Bundesweit&amp;": Stabilisierte Wachstumsrate"</f>
        <v>Schweizweit: Stabilisierte Wachstumsrate</v>
      </c>
      <c r="Z5" s="42" t="s">
        <v>276</v>
      </c>
    </row>
    <row r="6" spans="1:30" ht="14.85" customHeight="1" x14ac:dyDescent="0.25">
      <c r="A6" s="113" t="s">
        <v>201</v>
      </c>
      <c r="B6" s="75"/>
      <c r="C6" s="193"/>
      <c r="D6" s="193"/>
      <c r="E6" s="193"/>
      <c r="F6" s="193"/>
      <c r="G6" s="75"/>
      <c r="H6" s="75"/>
      <c r="I6" s="75"/>
      <c r="J6" s="75"/>
      <c r="K6" s="46"/>
      <c r="L6" s="46"/>
      <c r="M6" s="46"/>
      <c r="O6" s="132"/>
      <c r="P6" s="133" t="s">
        <v>85</v>
      </c>
      <c r="Q6" s="247"/>
      <c r="R6" s="234"/>
      <c r="S6" s="234"/>
      <c r="T6" s="235"/>
      <c r="Y6" s="42" t="str">
        <f>_Bundesweit&amp;": Halbierte Stabilisierte Wachstumsrate"</f>
        <v>Schweizweit: Halbierte Stabilisierte Wachstumsrate</v>
      </c>
    </row>
    <row r="7" spans="1:30" ht="14.85" customHeight="1" x14ac:dyDescent="0.2">
      <c r="A7" s="134"/>
      <c r="B7" s="134"/>
      <c r="C7" s="194"/>
      <c r="D7" s="194"/>
      <c r="E7" s="194"/>
      <c r="F7" s="194"/>
      <c r="G7" s="134"/>
      <c r="H7" s="134"/>
      <c r="I7" s="134"/>
      <c r="J7" s="134"/>
      <c r="K7" s="123"/>
      <c r="L7" s="123"/>
      <c r="M7" s="123"/>
      <c r="N7" s="59"/>
      <c r="O7" s="301" t="s">
        <v>122</v>
      </c>
      <c r="P7" s="301"/>
      <c r="Q7" s="247"/>
      <c r="R7" s="234"/>
      <c r="S7" s="234"/>
      <c r="T7" s="235"/>
      <c r="Y7" s="42" t="s">
        <v>89</v>
      </c>
    </row>
    <row r="8" spans="1:30" ht="14.85" customHeight="1" x14ac:dyDescent="0.2">
      <c r="A8" s="353" t="s">
        <v>4</v>
      </c>
      <c r="B8" s="354"/>
      <c r="C8" s="355" t="s">
        <v>5</v>
      </c>
      <c r="D8" s="356"/>
      <c r="E8" s="356"/>
      <c r="F8" s="357"/>
      <c r="G8" s="135" t="s">
        <v>83</v>
      </c>
      <c r="H8" s="306" t="s">
        <v>47</v>
      </c>
      <c r="I8" s="307"/>
      <c r="J8" s="307"/>
      <c r="K8" s="307"/>
      <c r="L8" s="307"/>
      <c r="M8" s="307"/>
      <c r="N8" s="308"/>
      <c r="O8" s="301"/>
      <c r="P8" s="301"/>
      <c r="Q8" s="247"/>
      <c r="R8" s="234"/>
      <c r="S8" s="234"/>
      <c r="T8" s="235"/>
      <c r="Y8" s="42" t="s">
        <v>90</v>
      </c>
    </row>
    <row r="9" spans="1:30" ht="30.75" customHeight="1" x14ac:dyDescent="0.2">
      <c r="A9" s="287" t="s">
        <v>86</v>
      </c>
      <c r="B9" s="288"/>
      <c r="C9" s="358">
        <v>44300</v>
      </c>
      <c r="D9" s="359"/>
      <c r="E9" s="359"/>
      <c r="F9" s="360"/>
      <c r="G9" s="136" t="s">
        <v>84</v>
      </c>
      <c r="H9" s="299" t="s">
        <v>168</v>
      </c>
      <c r="I9" s="300"/>
      <c r="J9" s="300"/>
      <c r="K9" s="300"/>
      <c r="L9" s="300"/>
      <c r="M9" s="300"/>
      <c r="N9" s="309"/>
      <c r="O9" s="301"/>
      <c r="P9" s="301"/>
      <c r="Q9" s="247"/>
      <c r="R9" s="234"/>
      <c r="S9" s="234"/>
      <c r="T9" s="236"/>
      <c r="Y9" s="42" t="s">
        <v>93</v>
      </c>
    </row>
    <row r="10" spans="1:30" ht="29.65" customHeight="1" x14ac:dyDescent="0.2">
      <c r="A10" s="287" t="s">
        <v>27</v>
      </c>
      <c r="B10" s="288"/>
      <c r="C10" s="338">
        <v>8544527</v>
      </c>
      <c r="D10" s="339"/>
      <c r="E10" s="339"/>
      <c r="F10" s="340"/>
      <c r="G10" s="137" t="s">
        <v>84</v>
      </c>
      <c r="H10" s="303" t="s">
        <v>48</v>
      </c>
      <c r="I10" s="304"/>
      <c r="J10" s="304"/>
      <c r="K10" s="304"/>
      <c r="L10" s="304"/>
      <c r="M10" s="304"/>
      <c r="N10" s="305"/>
      <c r="O10" s="302"/>
      <c r="P10" s="302"/>
      <c r="Q10" s="247"/>
      <c r="R10" s="234"/>
      <c r="S10" s="234"/>
      <c r="T10" s="236"/>
      <c r="Y10" s="42" t="s">
        <v>94</v>
      </c>
    </row>
    <row r="11" spans="1:30" ht="30.75" customHeight="1" x14ac:dyDescent="0.2">
      <c r="A11" s="293" t="s">
        <v>178</v>
      </c>
      <c r="B11" s="294"/>
      <c r="C11" s="341" t="s">
        <v>137</v>
      </c>
      <c r="D11" s="342"/>
      <c r="E11" s="342"/>
      <c r="F11" s="343"/>
      <c r="G11" s="325" t="s">
        <v>283</v>
      </c>
      <c r="H11" s="291" t="s">
        <v>141</v>
      </c>
      <c r="I11" s="292"/>
      <c r="J11" s="289" t="str">
        <f>"Ausgangswert der Berechnung ist die "&amp;_bundesweite&amp;" Infiziertenzahl, heruntergerechnet auf die Einwohner im Einzugsgebiet."</f>
        <v>Ausgangswert der Berechnung ist die schweizweite Infiziertenzahl, heruntergerechnet auf die Einwohner im Einzugsgebiet.</v>
      </c>
      <c r="K11" s="289"/>
      <c r="L11" s="289"/>
      <c r="M11" s="289"/>
      <c r="N11" s="289"/>
      <c r="O11" s="289"/>
      <c r="P11" s="290"/>
      <c r="Q11" s="247"/>
      <c r="R11" s="234"/>
      <c r="S11" s="234"/>
      <c r="T11" s="237"/>
      <c r="U11" s="42" t="str">
        <f>VLOOKUP(_Ausgangswert,V:W,2,FALSE)</f>
        <v>Bevölkerungsanteil</v>
      </c>
    </row>
    <row r="12" spans="1:30" ht="30.75" customHeight="1" x14ac:dyDescent="0.2">
      <c r="A12" s="295"/>
      <c r="B12" s="296"/>
      <c r="C12" s="344"/>
      <c r="D12" s="345"/>
      <c r="E12" s="345"/>
      <c r="F12" s="346"/>
      <c r="G12" s="350"/>
      <c r="H12" s="291" t="s">
        <v>142</v>
      </c>
      <c r="I12" s="292"/>
      <c r="J12" s="289" t="s">
        <v>146</v>
      </c>
      <c r="K12" s="289"/>
      <c r="L12" s="289"/>
      <c r="M12" s="289"/>
      <c r="N12" s="289"/>
      <c r="O12" s="289"/>
      <c r="P12" s="290"/>
      <c r="Q12" s="247"/>
      <c r="R12" s="234"/>
      <c r="S12" s="234"/>
      <c r="T12" s="237"/>
    </row>
    <row r="13" spans="1:30" ht="30.75" customHeight="1" x14ac:dyDescent="0.2">
      <c r="A13" s="297"/>
      <c r="B13" s="298"/>
      <c r="C13" s="347"/>
      <c r="D13" s="348"/>
      <c r="E13" s="348"/>
      <c r="F13" s="349"/>
      <c r="G13" s="326"/>
      <c r="H13" s="299" t="s">
        <v>143</v>
      </c>
      <c r="I13" s="300"/>
      <c r="J13" s="289" t="s">
        <v>147</v>
      </c>
      <c r="K13" s="289"/>
      <c r="L13" s="289"/>
      <c r="M13" s="289"/>
      <c r="N13" s="289"/>
      <c r="O13" s="289"/>
      <c r="P13" s="290"/>
      <c r="Q13" s="247"/>
      <c r="R13" s="234"/>
      <c r="S13" s="234"/>
      <c r="T13" s="237"/>
      <c r="Y13" s="189"/>
      <c r="Z13" s="189"/>
    </row>
    <row r="14" spans="1:30" ht="46.15" customHeight="1" x14ac:dyDescent="0.2">
      <c r="A14" s="310" t="s">
        <v>88</v>
      </c>
      <c r="B14" s="311"/>
      <c r="C14" s="312"/>
      <c r="D14" s="313"/>
      <c r="E14" s="313"/>
      <c r="F14" s="314"/>
      <c r="G14" s="138" t="str">
        <f>IF($C$11=$V$3,"Wert eingeben","keine Eingabe")</f>
        <v>keine Eingabe</v>
      </c>
      <c r="H14" s="333" t="s">
        <v>148</v>
      </c>
      <c r="I14" s="289"/>
      <c r="J14" s="289"/>
      <c r="K14" s="289"/>
      <c r="L14" s="289"/>
      <c r="M14" s="289"/>
      <c r="N14" s="289"/>
      <c r="O14" s="289"/>
      <c r="P14" s="290"/>
      <c r="Q14" s="247"/>
      <c r="R14" s="234"/>
      <c r="S14" s="234"/>
      <c r="T14" s="237"/>
    </row>
    <row r="15" spans="1:30" ht="30.75" customHeight="1" x14ac:dyDescent="0.2">
      <c r="A15" s="293" t="s">
        <v>177</v>
      </c>
      <c r="B15" s="294"/>
      <c r="C15" s="327" t="s">
        <v>284</v>
      </c>
      <c r="D15" s="328"/>
      <c r="E15" s="328"/>
      <c r="F15" s="329"/>
      <c r="G15" s="325" t="s">
        <v>283</v>
      </c>
      <c r="H15" s="321">
        <f>IF(AND(_AusgangswertKURZ="Regionaler Ausgangswert",C14=""),AA2,
IF(AND(_AusgangswertKURZ="Gebietsbezogene FZ",ISERROR(_WR),VLOOKUP(_Datum+1,'Fallzahlen (Berechnung)'!D:H,'Fallzahlen (Berechnung)'!$G$1,FALSE)=0.000001),AA3,IF(AND(_WachstumsrateKURZ="Gebietsbezogen",ISERROR(_WR),VLOOKUP(_Datum+1,'Fallzahlen (Berechnung)'!D:H,'Fallzahlen (Berechnung)'!$G$1,FALSE)=0.000001),AA4,_WR)))</f>
        <v>3.2645947642415685E-3</v>
      </c>
      <c r="I15" s="322"/>
      <c r="J15" s="351" t="s">
        <v>144</v>
      </c>
      <c r="K15" s="352"/>
      <c r="L15" s="352"/>
      <c r="M15" s="289" t="str">
        <f>"Prognose auf Basis der Fallzahlentwicklung der letzten "&amp;Stammdaten!C7&amp;" Tage."</f>
        <v>Prognose auf Basis der Fallzahlentwicklung der letzten vier Tage.</v>
      </c>
      <c r="N15" s="289"/>
      <c r="O15" s="289"/>
      <c r="P15" s="290"/>
      <c r="Q15" s="247"/>
      <c r="R15" s="234"/>
      <c r="S15" s="234"/>
      <c r="T15" s="237"/>
      <c r="U15" s="42" t="str">
        <f>IF(LEFT(_Wachstumsrate,1)="G","Gebietsbezogen",IF(LEFT(_Wachstumsrate,10)=LEFT(_Bundesweit,10),"Bundesweit",10%))</f>
        <v>Bundesweit</v>
      </c>
    </row>
    <row r="16" spans="1:30" ht="39" customHeight="1" x14ac:dyDescent="0.2">
      <c r="A16" s="297"/>
      <c r="B16" s="298"/>
      <c r="C16" s="330"/>
      <c r="D16" s="331"/>
      <c r="E16" s="331"/>
      <c r="F16" s="332"/>
      <c r="G16" s="326"/>
      <c r="H16" s="323"/>
      <c r="I16" s="324"/>
      <c r="J16" s="351" t="s">
        <v>145</v>
      </c>
      <c r="K16" s="352"/>
      <c r="L16" s="352"/>
      <c r="M16" s="289" t="str">
        <f>"Prognose auf Basis der Fallzahlentwicklung der letzten "&amp;Stammdaten!C8&amp;" Tage. Diese Methodik gleicht Unterschiede in den Zuwächsen pro Wochentag stärker aus."</f>
        <v>Prognose auf Basis der Fallzahlentwicklung der letzten sieben Tage. Diese Methodik gleicht Unterschiede in den Zuwächsen pro Wochentag stärker aus.</v>
      </c>
      <c r="N16" s="289"/>
      <c r="O16" s="289"/>
      <c r="P16" s="290"/>
      <c r="Q16" s="247"/>
      <c r="R16" s="234"/>
      <c r="S16" s="234"/>
      <c r="T16" s="238">
        <f>1+ISNUMBER(SEARCH("Halbierte",_Wachstumsrate)*1)+ISNUMBER(SEARCH("Reduzierte",_Wachstumsrate))*1</f>
        <v>1</v>
      </c>
      <c r="U16" s="233">
        <f>IF(ISERROR(SEARCH("Dynamische",_Wachstumsrate,1)),_StabWR,_DynWR)</f>
        <v>4</v>
      </c>
    </row>
    <row r="17" spans="1:21" ht="30.75" customHeight="1" x14ac:dyDescent="0.2">
      <c r="A17" s="287" t="str">
        <f>"Relevanter Anteil für das betrachtete "&amp;_Krankenhaus</f>
        <v>Relevanter Anteil für das betrachtete Spital</v>
      </c>
      <c r="B17" s="288"/>
      <c r="C17" s="320">
        <v>1</v>
      </c>
      <c r="D17" s="316"/>
      <c r="E17" s="316"/>
      <c r="F17" s="317"/>
      <c r="G17" s="139" t="s">
        <v>84</v>
      </c>
      <c r="H17" s="335" t="s">
        <v>49</v>
      </c>
      <c r="I17" s="336"/>
      <c r="J17" s="336"/>
      <c r="K17" s="336"/>
      <c r="L17" s="336"/>
      <c r="M17" s="336"/>
      <c r="N17" s="336"/>
      <c r="O17" s="336"/>
      <c r="P17" s="337"/>
      <c r="Q17" s="247"/>
      <c r="R17" s="234"/>
      <c r="S17" s="234"/>
      <c r="T17" s="237"/>
    </row>
    <row r="18" spans="1:21" ht="72.599999999999994" customHeight="1" x14ac:dyDescent="0.2">
      <c r="A18" s="315" t="s">
        <v>212</v>
      </c>
      <c r="B18" s="315"/>
      <c r="C18" s="320" t="s">
        <v>269</v>
      </c>
      <c r="D18" s="316"/>
      <c r="E18" s="316"/>
      <c r="F18" s="317"/>
      <c r="G18" s="248" t="s">
        <v>283</v>
      </c>
      <c r="H18" s="318" t="s">
        <v>277</v>
      </c>
      <c r="I18" s="319"/>
      <c r="J18" s="319"/>
      <c r="K18" s="319"/>
      <c r="L18" s="319"/>
      <c r="M18" s="319"/>
      <c r="N18" s="319"/>
      <c r="O18" s="319"/>
      <c r="P18" s="319"/>
      <c r="S18" s="234"/>
      <c r="T18" s="237"/>
      <c r="U18" s="42" t="str">
        <f>VLOOKUP(C18,$AC$1:$AD$4,2,FALSE)</f>
        <v>Neuinf</v>
      </c>
    </row>
    <row r="19" spans="1:21" ht="30.75" customHeight="1" x14ac:dyDescent="0.2">
      <c r="A19" s="315" t="s">
        <v>218</v>
      </c>
      <c r="B19" s="315"/>
      <c r="C19" s="316"/>
      <c r="D19" s="316"/>
      <c r="E19" s="316"/>
      <c r="F19" s="317"/>
      <c r="G19" s="139" t="s">
        <v>219</v>
      </c>
      <c r="H19" s="318" t="s">
        <v>220</v>
      </c>
      <c r="I19" s="319"/>
      <c r="J19" s="319"/>
      <c r="K19" s="319"/>
      <c r="L19" s="319"/>
      <c r="M19" s="319"/>
      <c r="N19" s="319"/>
      <c r="O19" s="319"/>
      <c r="P19" s="319"/>
      <c r="S19" s="234"/>
      <c r="T19" s="237"/>
    </row>
  </sheetData>
  <sheetProtection password="8C78" sheet="1" objects="1" scenarios="1"/>
  <mergeCells count="41">
    <mergeCell ref="O1:O3"/>
    <mergeCell ref="A3:B3"/>
    <mergeCell ref="A17:B17"/>
    <mergeCell ref="C17:F17"/>
    <mergeCell ref="H17:P17"/>
    <mergeCell ref="C10:F10"/>
    <mergeCell ref="C11:F13"/>
    <mergeCell ref="G11:G13"/>
    <mergeCell ref="A15:B16"/>
    <mergeCell ref="J15:L15"/>
    <mergeCell ref="M15:P15"/>
    <mergeCell ref="J16:L16"/>
    <mergeCell ref="A8:B8"/>
    <mergeCell ref="C8:F8"/>
    <mergeCell ref="A9:B9"/>
    <mergeCell ref="C9:F9"/>
    <mergeCell ref="A14:B14"/>
    <mergeCell ref="C14:F14"/>
    <mergeCell ref="A19:B19"/>
    <mergeCell ref="C19:F19"/>
    <mergeCell ref="H19:P19"/>
    <mergeCell ref="A18:B18"/>
    <mergeCell ref="H18:P18"/>
    <mergeCell ref="C18:F18"/>
    <mergeCell ref="M16:P16"/>
    <mergeCell ref="H15:I16"/>
    <mergeCell ref="G15:G16"/>
    <mergeCell ref="C15:F16"/>
    <mergeCell ref="H14:P14"/>
    <mergeCell ref="A10:B10"/>
    <mergeCell ref="J12:P12"/>
    <mergeCell ref="H12:I12"/>
    <mergeCell ref="J11:P11"/>
    <mergeCell ref="H11:I11"/>
    <mergeCell ref="A11:B13"/>
    <mergeCell ref="J13:P13"/>
    <mergeCell ref="H13:I13"/>
    <mergeCell ref="O7:P10"/>
    <mergeCell ref="H10:N10"/>
    <mergeCell ref="H8:N8"/>
    <mergeCell ref="H9:N9"/>
  </mergeCells>
  <conditionalFormatting sqref="H15">
    <cfRule type="containsText" dxfId="31" priority="9" operator="containsText" text="Hinterlegen Sie gebietsbezogene Fallzahlen für die letzten 5 Tage!">
      <formula>NOT(ISERROR(SEARCH("Hinterlegen Sie gebietsbezogene Fallzahlen für die letzten 5 Tage!",H15)))</formula>
    </cfRule>
  </conditionalFormatting>
  <conditionalFormatting sqref="C11">
    <cfRule type="expression" dxfId="30" priority="76">
      <formula>$H$15=$AA$2</formula>
    </cfRule>
    <cfRule type="expression" dxfId="29" priority="77">
      <formula>$H$15=$AA$3</formula>
    </cfRule>
  </conditionalFormatting>
  <conditionalFormatting sqref="C15">
    <cfRule type="expression" dxfId="28" priority="78">
      <formula>$H$15=$AA$4</formula>
    </cfRule>
  </conditionalFormatting>
  <conditionalFormatting sqref="H15">
    <cfRule type="expression" dxfId="27" priority="79">
      <formula>OR($H$15=$AA$2,$H$15=$AA$3,$H$15=$AA$4)</formula>
    </cfRule>
  </conditionalFormatting>
  <conditionalFormatting sqref="C14">
    <cfRule type="expression" dxfId="26" priority="80">
      <formula>$C$11=$V$3</formula>
    </cfRule>
  </conditionalFormatting>
  <conditionalFormatting sqref="A14:P14">
    <cfRule type="expression" dxfId="25" priority="81">
      <formula>($C$11&lt;&gt;$V$3)</formula>
    </cfRule>
  </conditionalFormatting>
  <dataValidations count="3">
    <dataValidation type="list" allowBlank="1" showInputMessage="1" showErrorMessage="1" sqref="C15:F16" xr:uid="{00000000-0002-0000-0200-000000000000}">
      <formula1>IF(_Methodik="Neuinf",$Z$2:$Z$5,$Y$2:$Y$10)</formula1>
    </dataValidation>
    <dataValidation type="list" allowBlank="1" showInputMessage="1" showErrorMessage="1" sqref="C18" xr:uid="{00000000-0002-0000-0200-000001000000}">
      <formula1>$AC$2:$AC$4</formula1>
    </dataValidation>
    <dataValidation type="list" allowBlank="1" showInputMessage="1" showErrorMessage="1" sqref="C11:F13" xr:uid="{00000000-0002-0000-0200-000002000000}">
      <formula1>IF(_Methodik="Neuinf",$V$2:$V$3,$V$2:$V$4)</formula1>
    </dataValidation>
  </dataValidations>
  <pageMargins left="0.78740157480314965" right="0.78740157480314965" top="0.98425196850393704" bottom="0.98425196850393704" header="0.59055118110236227" footer="0.51181102362204722"/>
  <pageSetup paperSize="9" scale="35" orientation="landscape" r:id="rId1"/>
  <headerFooter alignWithMargins="0">
    <oddFooter>&amp;C_____________________________________________________________________________
www.zeq.de | info@zeq.de
&amp;R&amp;P</oddFooter>
  </headerFooter>
  <colBreaks count="1" manualBreakCount="1">
    <brk id="4"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CB873273-BD3F-4BBD-B6C9-A6DE2A542BF9}">
            <xm:f>(Stammdaten!$B$1="Schweiz")</xm:f>
            <x14:dxf>
              <fill>
                <patternFill>
                  <bgColor rgb="FFFF0000"/>
                </patternFill>
              </fill>
              <border>
                <left/>
                <right/>
                <top/>
                <bottom/>
                <vertical/>
                <horizontal/>
              </border>
            </x14:dxf>
          </x14:cfRule>
          <xm:sqref>O1:O3</xm:sqref>
        </x14:conditionalFormatting>
      </x14:conditionalFormattings>
    </ext>
    <ext xmlns:x14="http://schemas.microsoft.com/office/spreadsheetml/2009/9/main" uri="{CCE6A557-97BC-4b89-ADB6-D9C93CAAB3DF}">
      <x14:dataValidations xmlns:xm="http://schemas.microsoft.com/office/excel/2006/main" count="4">
        <x14:dataValidation type="custom" errorStyle="warning" allowBlank="1" showInputMessage="1" showErrorMessage="1" errorTitle="Datum zu weit in der Zukunft" error="Das Datum liegt weiter in der Zukunft als die hinterlegten Fallzahlen - Bitte früheres Datum wählen oder im Tabellenblatt &quot;Fallzahlen (Berechnung)&quot; in den gelben (und ggf. orangefarbenen) Feldern die Fallzahlen ergänzen." xr:uid="{00000000-0002-0000-0200-000003000000}">
          <x14:formula1>
            <xm:f>(E9&lt;=MAX('Fallzahlen (Berechnung)'!#REF!))</xm:f>
          </x14:formula1>
          <xm:sqref>E9</xm:sqref>
        </x14:dataValidation>
        <x14:dataValidation type="custom" errorStyle="warning" allowBlank="1" showInputMessage="1" showErrorMessage="1" errorTitle="Datum zu weit in der Zukunft" error="Das Datum liegt weiter in der Zukunft als die hinterlegten Fallzahlen - Bitte früheres Datum wählen oder im Tabellenblatt &quot;Fallzahlen (Berechnung)&quot; in den gelben (und ggf. orangefarbenen) Feldern die Fallzahlen ergänzen." xr:uid="{00000000-0002-0000-0200-000004000000}">
          <x14:formula1>
            <xm:f>(C9&lt;=MAX('Fallzahlen (Berechnung)'!N3:O3))</xm:f>
          </x14:formula1>
          <xm:sqref>C9</xm:sqref>
        </x14:dataValidation>
        <x14:dataValidation type="custom" errorStyle="warning" allowBlank="1" showInputMessage="1" showErrorMessage="1" errorTitle="Datum zu weit in der Zukunft" error="Das Datum liegt weiter in der Zukunft als die hinterlegten Fallzahlen - Bitte früheres Datum wählen oder im Tabellenblatt &quot;Fallzahlen (Berechnung)&quot; in den gelben (und ggf. orangefarbenen) Feldern die Fallzahlen ergänzen." xr:uid="{00000000-0002-0000-0200-000005000000}">
          <x14:formula1>
            <xm:f>(D9&lt;=MAX('Fallzahlen (Berechnung)'!O3:O3))</xm:f>
          </x14:formula1>
          <xm:sqref>D9</xm:sqref>
        </x14:dataValidation>
        <x14:dataValidation type="custom" errorStyle="warning" allowBlank="1" showInputMessage="1" showErrorMessage="1" errorTitle="Datum zu weit in der Zukunft" error="Das Datum liegt weiter in der Zukunft als die hinterlegten Fallzahlen - Bitte früheres Datum wählen oder im Tabellenblatt &quot;Fallzahlen (Berechnung)&quot; in den gelben (und ggf. orangefarbenen) Feldern die Fallzahlen ergänzen." xr:uid="{00000000-0002-0000-0200-000006000000}">
          <x14:formula1>
            <xm:f>(F9&lt;=MAX('Fallzahlen (Berechnung)'!P3:P3))</xm:f>
          </x14:formula1>
          <xm:sqref>F9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tabColor theme="7" tint="0.59999389629810485"/>
  </sheetPr>
  <dimension ref="A1:Q523"/>
  <sheetViews>
    <sheetView showGridLines="0" tabSelected="1" zoomScale="120" zoomScaleNormal="120" workbookViewId="0">
      <pane ySplit="3" topLeftCell="A430" activePane="bottomLeft" state="frozen"/>
      <selection pane="bottomLeft" activeCell="G447" sqref="G447"/>
    </sheetView>
  </sheetViews>
  <sheetFormatPr baseColWidth="10" defaultRowHeight="12.75" x14ac:dyDescent="0.2"/>
  <cols>
    <col min="1" max="1" width="41.85546875" customWidth="1"/>
    <col min="2" max="2" width="14.28515625" customWidth="1"/>
    <col min="3" max="3" width="1.7109375" customWidth="1"/>
    <col min="4" max="4" width="13.42578125" customWidth="1"/>
    <col min="5" max="5" width="14" customWidth="1"/>
    <col min="6" max="7" width="13.42578125" customWidth="1"/>
    <col min="8" max="8" width="15" customWidth="1"/>
    <col min="9" max="11" width="13.42578125" customWidth="1"/>
    <col min="12" max="12" width="14" customWidth="1"/>
    <col min="13" max="13" width="13.85546875" customWidth="1"/>
    <col min="14" max="14" width="1.5703125" style="208" customWidth="1"/>
    <col min="15" max="15" width="11.5703125" style="208"/>
    <col min="16" max="17" width="11.5703125" style="143"/>
  </cols>
  <sheetData>
    <row r="1" spans="1:15" s="220" customFormat="1" ht="5.85" customHeight="1" x14ac:dyDescent="0.2">
      <c r="A1" s="218">
        <v>1</v>
      </c>
      <c r="B1" s="218">
        <v>2</v>
      </c>
      <c r="C1" s="219"/>
      <c r="D1" s="218">
        <v>1</v>
      </c>
      <c r="E1" s="218">
        <v>2</v>
      </c>
      <c r="F1" s="218">
        <v>3</v>
      </c>
      <c r="G1" s="218">
        <v>4</v>
      </c>
      <c r="H1" s="218">
        <v>5</v>
      </c>
      <c r="I1" s="218">
        <v>6</v>
      </c>
      <c r="J1" s="218">
        <v>7</v>
      </c>
      <c r="K1" s="218">
        <v>8</v>
      </c>
      <c r="L1" s="218">
        <v>9</v>
      </c>
      <c r="M1" s="218">
        <v>10</v>
      </c>
      <c r="N1" s="216"/>
      <c r="O1" s="216"/>
    </row>
    <row r="2" spans="1:15" x14ac:dyDescent="0.2">
      <c r="A2" s="364" t="str">
        <f>"Rahmendaten ("&amp;_Bundesweit&amp;")"</f>
        <v>Rahmendaten (Schweizweit)</v>
      </c>
      <c r="B2" s="364"/>
      <c r="C2" s="67"/>
      <c r="D2" s="363" t="s">
        <v>0</v>
      </c>
      <c r="E2" s="212"/>
      <c r="F2" s="367" t="s">
        <v>87</v>
      </c>
      <c r="G2" s="368"/>
      <c r="H2" s="369"/>
      <c r="I2" s="367" t="s">
        <v>28</v>
      </c>
      <c r="J2" s="368"/>
      <c r="K2" s="368"/>
      <c r="L2" s="369"/>
      <c r="M2" s="361" t="str">
        <f>"Tägliche Wachstumsrate"</f>
        <v>Tägliche Wachstumsrate</v>
      </c>
      <c r="N2" s="163"/>
      <c r="O2" s="208" t="s">
        <v>226</v>
      </c>
    </row>
    <row r="3" spans="1:15" ht="45" x14ac:dyDescent="0.2">
      <c r="A3" s="365"/>
      <c r="B3" s="365"/>
      <c r="C3" s="68"/>
      <c r="D3" s="363"/>
      <c r="E3" s="213" t="s">
        <v>241</v>
      </c>
      <c r="F3" s="61" t="str">
        <f>Stammdaten!$F$18</f>
        <v>BAG Schweiz</v>
      </c>
      <c r="G3" s="61" t="s">
        <v>186</v>
      </c>
      <c r="H3" s="61" t="str">
        <f>"Tatsächlich Infizierte "&amp;_Bundesweit</f>
        <v>Tatsächlich Infizierte Schweizweit</v>
      </c>
      <c r="I3" s="61" t="str">
        <f>F3</f>
        <v>BAG Schweiz</v>
      </c>
      <c r="J3" s="61" t="s">
        <v>74</v>
      </c>
      <c r="K3" s="61" t="s">
        <v>76</v>
      </c>
      <c r="L3" s="61" t="s">
        <v>215</v>
      </c>
      <c r="M3" s="362"/>
      <c r="N3" s="164"/>
      <c r="O3" s="164">
        <f>D4+SUM(O4:O9999)-1</f>
        <v>44300</v>
      </c>
    </row>
    <row r="4" spans="1:15" x14ac:dyDescent="0.2">
      <c r="A4" s="144" t="str">
        <f>"Einwohner "&amp;Stammdaten!B1</f>
        <v>Einwohner Schweiz</v>
      </c>
      <c r="B4" s="145">
        <f>Stammdaten!F8</f>
        <v>8544527</v>
      </c>
      <c r="C4" s="69"/>
      <c r="D4" s="63">
        <v>43858</v>
      </c>
      <c r="E4" s="64">
        <f t="shared" ref="E4:E67" si="0">IF(_AusgangswertKURZ="Bevölkerungsanteil",
$B$26*IF(F4=ROUNDDOWN(F4,0),F4,F4*VLOOKUP(WEEKDAY($D4,1),$A$51:$B$57,$B$1,FALSE)),
$B$17*IF(G4=ROUNDDOWN(G4,0),G4,G4*VLOOKUP(WEEKDAY($D4,1),$A$51:$B$57,$B$1,FALSE)))</f>
        <v>1</v>
      </c>
      <c r="F4" s="101">
        <v>1</v>
      </c>
      <c r="G4" s="140"/>
      <c r="H4" s="64">
        <f>F4</f>
        <v>1</v>
      </c>
      <c r="I4" s="64">
        <f>F4</f>
        <v>1</v>
      </c>
      <c r="J4" s="64">
        <f>G4</f>
        <v>0</v>
      </c>
      <c r="K4" s="101">
        <f>IFERROR(IF(D4=_Datum,Prognoseparameter!$C$14,
IF(_WachstumsrateKURZ="Bundesweit",IF(D4&gt;_Datum,
         K3+AVERAGE(#REF!)*(1+_WR)*(1-(K3-VLOOKUP('Erkrankungs- und Strukturdaten'!$C$45,$D:$M,$K$1,FALSE))/$B$16),
         K5-$B$23*F5),
IF(D4&gt;_Datum,K3+G4,IF(G5="",K5/(K5^(1/N4)),K5-G5)))),"")</f>
        <v>0</v>
      </c>
      <c r="L4" s="64">
        <f>I4/'Erkrankungs- und Strukturdaten'!$C$7</f>
        <v>1.8181818181818181</v>
      </c>
      <c r="M4" s="65"/>
      <c r="N4" s="163">
        <v>1</v>
      </c>
      <c r="O4" s="208">
        <f t="shared" ref="O4:O67" si="1">IF(F4=ROUNDDOWN(F4,0),1,0)</f>
        <v>1</v>
      </c>
    </row>
    <row r="5" spans="1:15" x14ac:dyDescent="0.2">
      <c r="A5" s="83" t="s">
        <v>96</v>
      </c>
      <c r="B5" s="141">
        <f>B4*'Erkrankungs- und Strukturdaten'!C6</f>
        <v>5981168.8999999994</v>
      </c>
      <c r="C5" s="70"/>
      <c r="D5" s="63">
        <v>43859</v>
      </c>
      <c r="E5" s="64">
        <f t="shared" si="0"/>
        <v>3</v>
      </c>
      <c r="F5" s="101">
        <v>3</v>
      </c>
      <c r="G5" s="140"/>
      <c r="H5" s="64">
        <f>H4+F5</f>
        <v>4</v>
      </c>
      <c r="I5" s="64">
        <f>I4+F5</f>
        <v>4</v>
      </c>
      <c r="J5" s="64">
        <f t="shared" ref="J5:J68" si="2">J4+G5</f>
        <v>0</v>
      </c>
      <c r="K5" s="101">
        <f>IFERROR(IF(D5=_Datum,Prognoseparameter!$C$14,
IF(_WachstumsrateKURZ="Bundesweit",IF(D5&gt;_Datum,
         K4+AVERAGE(F1:F4)*(1+_WR)*(1-(K4-VLOOKUP('Erkrankungs- und Strukturdaten'!$C$45,$D:$M,$K$1,FALSE))/$B$16),
         K6-$B$23*F6),
IF(D5&gt;_Datum,K4+G5,IF(G6="",K6/(K6^(1/N5)),K6-G6)))),"")</f>
        <v>0</v>
      </c>
      <c r="L5" s="64">
        <f>I5/'Erkrankungs- und Strukturdaten'!$C$7</f>
        <v>7.2727272727272725</v>
      </c>
      <c r="M5" s="65">
        <f>IFERROR((I5-I4)/I4,0)</f>
        <v>3</v>
      </c>
      <c r="N5" s="163">
        <v>2</v>
      </c>
      <c r="O5" s="208">
        <f t="shared" si="1"/>
        <v>1</v>
      </c>
    </row>
    <row r="6" spans="1:15" x14ac:dyDescent="0.2">
      <c r="A6" s="83" t="s">
        <v>235</v>
      </c>
      <c r="B6" s="141">
        <f>B5*'Erkrankungs- und Strukturdaten'!$C$7</f>
        <v>3289642.895</v>
      </c>
      <c r="C6" s="71"/>
      <c r="D6" s="63">
        <v>43860</v>
      </c>
      <c r="E6" s="64">
        <f t="shared" si="0"/>
        <v>0</v>
      </c>
      <c r="F6" s="101">
        <v>0</v>
      </c>
      <c r="G6" s="140"/>
      <c r="H6" s="64">
        <f>E6/'Erkrankungs- und Strukturdaten'!$C$7</f>
        <v>0</v>
      </c>
      <c r="I6" s="64">
        <f t="shared" ref="I6:I69" si="3">I5+F6</f>
        <v>4</v>
      </c>
      <c r="J6" s="64">
        <f t="shared" si="2"/>
        <v>0</v>
      </c>
      <c r="K6" s="101">
        <f>IFERROR(IF(D6=_Datum,Prognoseparameter!$C$14,
IF(_WachstumsrateKURZ="Bundesweit",IF(D6&gt;_Datum,
         K5+AVERAGE(F2:F5)*(1+_WR)*(1-(K5-VLOOKUP('Erkrankungs- und Strukturdaten'!$C$45,$D:$M,$K$1,FALSE))/$B$16),
         K7-$B$23*F7),
IF(D6&gt;_Datum,K5+G6,IF(G7="",K7/(K7^(1/N6)),K7-G7)))),"")</f>
        <v>0</v>
      </c>
      <c r="L6" s="64">
        <f>I6/'Erkrankungs- und Strukturdaten'!$C$7</f>
        <v>7.2727272727272725</v>
      </c>
      <c r="M6" s="65">
        <f t="shared" ref="M6:M69" si="4">IFERROR((I6-I5)/I5,0)</f>
        <v>0</v>
      </c>
      <c r="N6" s="163">
        <v>3</v>
      </c>
      <c r="O6" s="208">
        <f t="shared" si="1"/>
        <v>1</v>
      </c>
    </row>
    <row r="7" spans="1:15" x14ac:dyDescent="0.2">
      <c r="A7" s="83" t="s">
        <v>50</v>
      </c>
      <c r="B7" s="180">
        <f>Prognoseparameter!C10/'Fallzahlen (Berechnung)'!B4</f>
        <v>1</v>
      </c>
      <c r="C7" s="72"/>
      <c r="D7" s="63">
        <v>43861</v>
      </c>
      <c r="E7" s="64">
        <f t="shared" si="0"/>
        <v>1</v>
      </c>
      <c r="F7" s="101">
        <v>1</v>
      </c>
      <c r="G7" s="140"/>
      <c r="H7" s="64">
        <f>E7/'Erkrankungs- und Strukturdaten'!$C$7</f>
        <v>1.8181818181818181</v>
      </c>
      <c r="I7" s="64">
        <f t="shared" si="3"/>
        <v>5</v>
      </c>
      <c r="J7" s="64">
        <f t="shared" si="2"/>
        <v>0</v>
      </c>
      <c r="K7" s="101">
        <f>IFERROR(IF(D7=_Datum,Prognoseparameter!$C$14,
IF(_WachstumsrateKURZ="Bundesweit",IF(D7&gt;_Datum,
         K6+AVERAGE(F3:F6)*(1+_WR)*(1-(K6-VLOOKUP('Erkrankungs- und Strukturdaten'!$C$45,$D:$M,$K$1,FALSE))/$B$16),
         K8-$B$23*F8),
IF(D7&gt;_Datum,K6+G7,IF(G8="",K8/(K8^(1/N7)),K8-G8)))),"")</f>
        <v>0</v>
      </c>
      <c r="L7" s="64">
        <f>I7/'Erkrankungs- und Strukturdaten'!$C$7</f>
        <v>9.0909090909090899</v>
      </c>
      <c r="M7" s="65">
        <f t="shared" si="4"/>
        <v>0.25</v>
      </c>
      <c r="N7" s="163">
        <v>4</v>
      </c>
      <c r="O7" s="208">
        <f t="shared" si="1"/>
        <v>1</v>
      </c>
    </row>
    <row r="8" spans="1:15" x14ac:dyDescent="0.2">
      <c r="A8" s="83" t="str">
        <f>"Anteil "&amp;_Krankenhaus</f>
        <v>Anteil Spital</v>
      </c>
      <c r="B8" s="153">
        <f>Prognoseparameter!C17*'Fallzahlen (Berechnung)'!B7</f>
        <v>1</v>
      </c>
      <c r="C8" s="69"/>
      <c r="D8" s="63">
        <v>43862</v>
      </c>
      <c r="E8" s="64">
        <f t="shared" si="0"/>
        <v>2</v>
      </c>
      <c r="F8" s="101">
        <v>2</v>
      </c>
      <c r="G8" s="140"/>
      <c r="H8" s="64">
        <f>E8/'Erkrankungs- und Strukturdaten'!$C$7</f>
        <v>3.6363636363636362</v>
      </c>
      <c r="I8" s="64">
        <f t="shared" si="3"/>
        <v>7</v>
      </c>
      <c r="J8" s="64">
        <f t="shared" si="2"/>
        <v>0</v>
      </c>
      <c r="K8" s="101">
        <f>IFERROR(IF(D8=_Datum,Prognoseparameter!$C$14,
IF(_WachstumsrateKURZ="Bundesweit",IF(D8&gt;_Datum,
         K7+AVERAGE(F4:F7)*(1+_WR)*(1-(K7-VLOOKUP('Erkrankungs- und Strukturdaten'!$C$45,$D:$M,$K$1,FALSE))/$B$16),
         K9-$B$23*F9),
IF(D8&gt;_Datum,K7+G8,IF(G9="",K9/(K9^(1/N8)),K9-G9)))),"")</f>
        <v>0</v>
      </c>
      <c r="L8" s="64">
        <f>I8/'Erkrankungs- und Strukturdaten'!$C$7</f>
        <v>12.727272727272727</v>
      </c>
      <c r="M8" s="65">
        <f t="shared" si="4"/>
        <v>0.4</v>
      </c>
      <c r="N8" s="163">
        <v>5</v>
      </c>
      <c r="O8" s="208">
        <f t="shared" si="1"/>
        <v>1</v>
      </c>
    </row>
    <row r="9" spans="1:15" x14ac:dyDescent="0.2">
      <c r="A9" s="62"/>
      <c r="B9" s="85"/>
      <c r="C9" s="69"/>
      <c r="D9" s="63">
        <v>43863</v>
      </c>
      <c r="E9" s="64">
        <f t="shared" si="0"/>
        <v>1</v>
      </c>
      <c r="F9" s="101">
        <v>1</v>
      </c>
      <c r="G9" s="140"/>
      <c r="H9" s="64">
        <f>E9/'Erkrankungs- und Strukturdaten'!$C$7</f>
        <v>1.8181818181818181</v>
      </c>
      <c r="I9" s="64">
        <f t="shared" si="3"/>
        <v>8</v>
      </c>
      <c r="J9" s="64">
        <f t="shared" si="2"/>
        <v>0</v>
      </c>
      <c r="K9" s="101">
        <f>IFERROR(IF(D9=_Datum,Prognoseparameter!$C$14,
IF(_WachstumsrateKURZ="Bundesweit",IF(D9&gt;_Datum,
         K8+AVERAGE(F5:F8)*(1+_WR)*(1-(K8-VLOOKUP('Erkrankungs- und Strukturdaten'!$C$45,$D:$M,$K$1,FALSE))/$B$16),
         K10-$B$23*F10),
IF(D9&gt;_Datum,K8+G9,IF(G10="",K10/(K10^(1/N9)),K10-G10)))),"")</f>
        <v>0</v>
      </c>
      <c r="L9" s="64">
        <f>I9/'Erkrankungs- und Strukturdaten'!$C$7</f>
        <v>14.545454545454545</v>
      </c>
      <c r="M9" s="65">
        <f t="shared" si="4"/>
        <v>0.14285714285714285</v>
      </c>
      <c r="N9" s="163">
        <v>6</v>
      </c>
      <c r="O9" s="208">
        <f t="shared" si="1"/>
        <v>1</v>
      </c>
    </row>
    <row r="10" spans="1:15" x14ac:dyDescent="0.2">
      <c r="A10" s="363" t="s">
        <v>75</v>
      </c>
      <c r="B10" s="363"/>
      <c r="C10" s="69"/>
      <c r="D10" s="63">
        <v>43864</v>
      </c>
      <c r="E10" s="64">
        <f t="shared" si="0"/>
        <v>1</v>
      </c>
      <c r="F10" s="101">
        <v>1</v>
      </c>
      <c r="G10" s="140"/>
      <c r="H10" s="64">
        <f>E10/'Erkrankungs- und Strukturdaten'!$C$7</f>
        <v>1.8181818181818181</v>
      </c>
      <c r="I10" s="64">
        <f t="shared" si="3"/>
        <v>9</v>
      </c>
      <c r="J10" s="64">
        <f t="shared" si="2"/>
        <v>0</v>
      </c>
      <c r="K10" s="101">
        <f>IFERROR(IF(D10=_Datum,Prognoseparameter!$C$14,
IF(_WachstumsrateKURZ="Bundesweit",IF(D10&gt;_Datum,
         K9+AVERAGE(F6:F9)*(1+_WR)*(1-(K9-VLOOKUP('Erkrankungs- und Strukturdaten'!$C$45,$D:$M,$K$1,FALSE))/$B$16),
         K11-$B$23*F11),
IF(D10&gt;_Datum,K9+G10,IF(G11="",K11/(K11^(1/N10)),K11-G11)))),"")</f>
        <v>0</v>
      </c>
      <c r="L10" s="64">
        <f>I10/'Erkrankungs- und Strukturdaten'!$C$7</f>
        <v>16.363636363636363</v>
      </c>
      <c r="M10" s="65">
        <f t="shared" si="4"/>
        <v>0.125</v>
      </c>
      <c r="N10" s="163">
        <v>7</v>
      </c>
      <c r="O10" s="208">
        <f t="shared" si="1"/>
        <v>1</v>
      </c>
    </row>
    <row r="11" spans="1:15" x14ac:dyDescent="0.2">
      <c r="A11" s="363" t="s">
        <v>75</v>
      </c>
      <c r="B11" s="363"/>
      <c r="C11" s="69"/>
      <c r="D11" s="63">
        <v>43865</v>
      </c>
      <c r="E11" s="64">
        <f t="shared" si="0"/>
        <v>2</v>
      </c>
      <c r="F11" s="101">
        <v>2</v>
      </c>
      <c r="G11" s="140"/>
      <c r="H11" s="64">
        <f>E11/'Erkrankungs- und Strukturdaten'!$C$7</f>
        <v>3.6363636363636362</v>
      </c>
      <c r="I11" s="64">
        <f t="shared" si="3"/>
        <v>11</v>
      </c>
      <c r="J11" s="64">
        <f t="shared" si="2"/>
        <v>0</v>
      </c>
      <c r="K11" s="101">
        <f>IFERROR(IF(D11=_Datum,Prognoseparameter!$C$14,
IF(_WachstumsrateKURZ="Bundesweit",IF(D11&gt;_Datum,
         K10+AVERAGE(F7:F10)*(1+_WR)*(1-(K10-VLOOKUP('Erkrankungs- und Strukturdaten'!$C$45,$D:$M,$K$1,FALSE))/$B$16),
         K12-$B$23*F12),
IF(D11&gt;_Datum,K10+G11,IF(G12="",K12/(K12^(1/N11)),K12-G12)))),"")</f>
        <v>0</v>
      </c>
      <c r="L11" s="64">
        <f>I11/'Erkrankungs- und Strukturdaten'!$C$7</f>
        <v>20</v>
      </c>
      <c r="M11" s="65">
        <f t="shared" si="4"/>
        <v>0.22222222222222221</v>
      </c>
      <c r="N11" s="163">
        <v>8</v>
      </c>
      <c r="O11" s="208">
        <f t="shared" si="1"/>
        <v>1</v>
      </c>
    </row>
    <row r="12" spans="1:15" x14ac:dyDescent="0.2">
      <c r="A12" s="83" t="s">
        <v>98</v>
      </c>
      <c r="B12" s="142">
        <f>_Datum-(B58="Nein")</f>
        <v>44300</v>
      </c>
      <c r="C12" s="60"/>
      <c r="D12" s="63">
        <v>43866</v>
      </c>
      <c r="E12" s="64">
        <f t="shared" si="0"/>
        <v>0</v>
      </c>
      <c r="F12" s="101">
        <v>0</v>
      </c>
      <c r="G12" s="140"/>
      <c r="H12" s="64">
        <f>E12/'Erkrankungs- und Strukturdaten'!$C$7</f>
        <v>0</v>
      </c>
      <c r="I12" s="64">
        <f t="shared" si="3"/>
        <v>11</v>
      </c>
      <c r="J12" s="64">
        <f t="shared" si="2"/>
        <v>0</v>
      </c>
      <c r="K12" s="101">
        <f>IFERROR(IF(D12=_Datum,Prognoseparameter!$C$14,
IF(_WachstumsrateKURZ="Bundesweit",IF(D12&gt;_Datum,
         K11+AVERAGE(F8:F11)*(1+_WR)*(1-(K11-VLOOKUP('Erkrankungs- und Strukturdaten'!$C$45,$D:$M,$K$1,FALSE))/$B$16),
         K13-$B$23*F13),
IF(D12&gt;_Datum,K11+G12,IF(G13="",K13/(K13^(1/N12)),K13-G13)))),"")</f>
        <v>0</v>
      </c>
      <c r="L12" s="64">
        <f>I12/'Erkrankungs- und Strukturdaten'!$C$7</f>
        <v>20</v>
      </c>
      <c r="M12" s="65">
        <f t="shared" si="4"/>
        <v>0</v>
      </c>
      <c r="N12" s="163">
        <v>9</v>
      </c>
      <c r="O12" s="208">
        <f t="shared" si="1"/>
        <v>1</v>
      </c>
    </row>
    <row r="13" spans="1:15" x14ac:dyDescent="0.2">
      <c r="A13" s="83" t="s">
        <v>95</v>
      </c>
      <c r="B13" s="141">
        <f>Prognoseparameter!C10</f>
        <v>8544527</v>
      </c>
      <c r="D13" s="63">
        <v>43867</v>
      </c>
      <c r="E13" s="64">
        <f t="shared" si="0"/>
        <v>0</v>
      </c>
      <c r="F13" s="101">
        <v>0</v>
      </c>
      <c r="G13" s="140"/>
      <c r="H13" s="64">
        <f>E13/'Erkrankungs- und Strukturdaten'!$C$7</f>
        <v>0</v>
      </c>
      <c r="I13" s="64">
        <f t="shared" si="3"/>
        <v>11</v>
      </c>
      <c r="J13" s="64">
        <f t="shared" si="2"/>
        <v>0</v>
      </c>
      <c r="K13" s="101">
        <f>IFERROR(IF(D13=_Datum,Prognoseparameter!$C$14,
IF(_WachstumsrateKURZ="Bundesweit",IF(D13&gt;_Datum,
         K12+AVERAGE(F9:F12)*(1+_WR)*(1-(K12-VLOOKUP('Erkrankungs- und Strukturdaten'!$C$45,$D:$M,$K$1,FALSE))/$B$16),
         K14-$B$23*F14),
IF(D13&gt;_Datum,K12+G13,IF(G14="",K14/(K14^(1/N13)),K14-G14)))),"")</f>
        <v>0</v>
      </c>
      <c r="L13" s="64">
        <f>I13/'Erkrankungs- und Strukturdaten'!$C$7</f>
        <v>20</v>
      </c>
      <c r="M13" s="65">
        <f t="shared" si="4"/>
        <v>0</v>
      </c>
      <c r="N13" s="163">
        <v>10</v>
      </c>
      <c r="O13" s="208">
        <f t="shared" si="1"/>
        <v>1</v>
      </c>
    </row>
    <row r="14" spans="1:15" x14ac:dyDescent="0.2">
      <c r="A14" s="83" t="s">
        <v>29</v>
      </c>
      <c r="B14" s="84">
        <f>'Erkrankungs- und Strukturdaten'!C6</f>
        <v>0.7</v>
      </c>
      <c r="D14" s="63">
        <v>43868</v>
      </c>
      <c r="E14" s="64">
        <f t="shared" si="0"/>
        <v>1</v>
      </c>
      <c r="F14" s="101">
        <v>1</v>
      </c>
      <c r="G14" s="140"/>
      <c r="H14" s="64">
        <f>E14/'Erkrankungs- und Strukturdaten'!$C$7</f>
        <v>1.8181818181818181</v>
      </c>
      <c r="I14" s="64">
        <f t="shared" si="3"/>
        <v>12</v>
      </c>
      <c r="J14" s="64">
        <f t="shared" si="2"/>
        <v>0</v>
      </c>
      <c r="K14" s="101">
        <f>IFERROR(IF(D14=_Datum,Prognoseparameter!$C$14,
IF(_WachstumsrateKURZ="Bundesweit",IF(D14&gt;_Datum,
         K13+AVERAGE(F10:F13)*(1+_WR)*(1-(K13-VLOOKUP('Erkrankungs- und Strukturdaten'!$C$45,$D:$M,$K$1,FALSE))/$B$16),
         K15-$B$23*F15),
IF(D14&gt;_Datum,K13+G14,IF(G15="",K15/(K15^(1/N14)),K15-G15)))),"")</f>
        <v>0</v>
      </c>
      <c r="L14" s="64">
        <f>I14/'Erkrankungs- und Strukturdaten'!$C$7</f>
        <v>21.818181818181817</v>
      </c>
      <c r="M14" s="65">
        <f t="shared" si="4"/>
        <v>9.0909090909090912E-2</v>
      </c>
      <c r="N14" s="163">
        <v>11</v>
      </c>
      <c r="O14" s="208">
        <f t="shared" si="1"/>
        <v>1</v>
      </c>
    </row>
    <row r="15" spans="1:15" x14ac:dyDescent="0.2">
      <c r="A15" s="83" t="s">
        <v>96</v>
      </c>
      <c r="B15" s="141">
        <f>B13*B14</f>
        <v>5981168.8999999994</v>
      </c>
      <c r="D15" s="63">
        <v>43869</v>
      </c>
      <c r="E15" s="64">
        <f t="shared" si="0"/>
        <v>1</v>
      </c>
      <c r="F15" s="101">
        <v>1</v>
      </c>
      <c r="G15" s="140"/>
      <c r="H15" s="64">
        <f>E15/'Erkrankungs- und Strukturdaten'!$C$7</f>
        <v>1.8181818181818181</v>
      </c>
      <c r="I15" s="64">
        <f t="shared" si="3"/>
        <v>13</v>
      </c>
      <c r="J15" s="64">
        <f t="shared" si="2"/>
        <v>0</v>
      </c>
      <c r="K15" s="101">
        <f>IFERROR(IF(D15=_Datum,Prognoseparameter!$C$14,
IF(_WachstumsrateKURZ="Bundesweit",IF(D15&gt;_Datum,
         K14+AVERAGE(F11:F14)*(1+_WR)*(1-(K14-VLOOKUP('Erkrankungs- und Strukturdaten'!$C$45,$D:$M,$K$1,FALSE))/$B$16),
         K16-$B$23*F16),
IF(D15&gt;_Datum,K14+G15,IF(G16="",K16/(K16^(1/N15)),K16-G16)))),"")</f>
        <v>0</v>
      </c>
      <c r="L15" s="64">
        <f>I15/'Erkrankungs- und Strukturdaten'!$C$7</f>
        <v>23.636363636363633</v>
      </c>
      <c r="M15" s="65">
        <f t="shared" si="4"/>
        <v>8.3333333333333329E-2</v>
      </c>
      <c r="N15" s="163">
        <v>12</v>
      </c>
      <c r="O15" s="208">
        <f t="shared" si="1"/>
        <v>1</v>
      </c>
    </row>
    <row r="16" spans="1:15" x14ac:dyDescent="0.2">
      <c r="A16" s="83" t="s">
        <v>235</v>
      </c>
      <c r="B16" s="141">
        <f>B15*'Erkrankungs- und Strukturdaten'!$C$7</f>
        <v>3289642.895</v>
      </c>
      <c r="D16" s="63">
        <v>43870</v>
      </c>
      <c r="E16" s="64">
        <f t="shared" si="0"/>
        <v>0</v>
      </c>
      <c r="F16" s="101">
        <v>0</v>
      </c>
      <c r="G16" s="140"/>
      <c r="H16" s="64">
        <f>E16/'Erkrankungs- und Strukturdaten'!$C$7</f>
        <v>0</v>
      </c>
      <c r="I16" s="64">
        <f t="shared" si="3"/>
        <v>13</v>
      </c>
      <c r="J16" s="64">
        <f t="shared" si="2"/>
        <v>0</v>
      </c>
      <c r="K16" s="101">
        <f>IFERROR(IF(D16=_Datum,Prognoseparameter!$C$14,
IF(_WachstumsrateKURZ="Bundesweit",IF(D16&gt;_Datum,
         K15+AVERAGE(F12:F15)*(1+_WR)*(1-(K15-VLOOKUP('Erkrankungs- und Strukturdaten'!$C$45,$D:$M,$K$1,FALSE))/$B$16),
         K17-$B$23*F17),
IF(D16&gt;_Datum,K15+G16,IF(G17="",K17/(K17^(1/N16)),K17-G17)))),"")</f>
        <v>0</v>
      </c>
      <c r="L16" s="64">
        <f>I16/'Erkrankungs- und Strukturdaten'!$C$7</f>
        <v>23.636363636363633</v>
      </c>
      <c r="M16" s="65">
        <f t="shared" si="4"/>
        <v>0</v>
      </c>
      <c r="N16" s="163">
        <v>13</v>
      </c>
      <c r="O16" s="208">
        <f t="shared" si="1"/>
        <v>1</v>
      </c>
    </row>
    <row r="17" spans="1:15" x14ac:dyDescent="0.2">
      <c r="A17" s="83" t="str">
        <f>"Anteil "&amp;_Krankenhaus</f>
        <v>Anteil Spital</v>
      </c>
      <c r="B17" s="84">
        <f>Prognoseparameter!C17</f>
        <v>1</v>
      </c>
      <c r="D17" s="63">
        <v>43871</v>
      </c>
      <c r="E17" s="64">
        <f t="shared" si="0"/>
        <v>0</v>
      </c>
      <c r="F17" s="101">
        <v>0</v>
      </c>
      <c r="G17" s="140"/>
      <c r="H17" s="64">
        <f>E17/'Erkrankungs- und Strukturdaten'!$C$7</f>
        <v>0</v>
      </c>
      <c r="I17" s="64">
        <f t="shared" si="3"/>
        <v>13</v>
      </c>
      <c r="J17" s="64">
        <f t="shared" si="2"/>
        <v>0</v>
      </c>
      <c r="K17" s="101">
        <f>IFERROR(IF(D17=_Datum,Prognoseparameter!$C$14,
IF(_WachstumsrateKURZ="Bundesweit",IF(D17&gt;_Datum,
         K16+AVERAGE(F13:F16)*(1+_WR)*(1-(K16-VLOOKUP('Erkrankungs- und Strukturdaten'!$C$45,$D:$M,$K$1,FALSE))/$B$16),
         K18-$B$23*F18),
IF(D17&gt;_Datum,K16+G17,IF(G18="",K18/(K18^(1/N17)),K18-G18)))),"")</f>
        <v>0</v>
      </c>
      <c r="L17" s="64">
        <f>I17/'Erkrankungs- und Strukturdaten'!$C$7</f>
        <v>23.636363636363633</v>
      </c>
      <c r="M17" s="65">
        <f t="shared" si="4"/>
        <v>0</v>
      </c>
      <c r="N17" s="163">
        <v>14</v>
      </c>
      <c r="O17" s="208">
        <f t="shared" si="1"/>
        <v>1</v>
      </c>
    </row>
    <row r="18" spans="1:15" x14ac:dyDescent="0.2">
      <c r="A18" s="83" t="s">
        <v>162</v>
      </c>
      <c r="B18" s="84">
        <f>'Erkrankungs- und Strukturdaten'!C7</f>
        <v>0.55000000000000004</v>
      </c>
      <c r="D18" s="63">
        <v>43872</v>
      </c>
      <c r="E18" s="64">
        <f t="shared" si="0"/>
        <v>0</v>
      </c>
      <c r="F18" s="101">
        <v>0</v>
      </c>
      <c r="G18" s="140"/>
      <c r="H18" s="64">
        <f>E18/'Erkrankungs- und Strukturdaten'!$C$7</f>
        <v>0</v>
      </c>
      <c r="I18" s="64">
        <f t="shared" si="3"/>
        <v>13</v>
      </c>
      <c r="J18" s="64">
        <f t="shared" si="2"/>
        <v>0</v>
      </c>
      <c r="K18" s="101">
        <f>IFERROR(IF(D18=_Datum,Prognoseparameter!$C$14,
IF(_WachstumsrateKURZ="Bundesweit",IF(D18&gt;_Datum,
         K17+AVERAGE(F14:F17)*(1+_WR)*(1-(K17-VLOOKUP('Erkrankungs- und Strukturdaten'!$C$45,$D:$M,$K$1,FALSE))/$B$16),
         K19-$B$23*F19),
IF(D18&gt;_Datum,K17+G18,IF(G19="",K19/(K19^(1/N18)),K19-G19)))),"")</f>
        <v>0</v>
      </c>
      <c r="L18" s="64">
        <f>I18/'Erkrankungs- und Strukturdaten'!$C$7</f>
        <v>23.636363636363633</v>
      </c>
      <c r="M18" s="65">
        <f t="shared" si="4"/>
        <v>0</v>
      </c>
      <c r="N18" s="163">
        <v>15</v>
      </c>
      <c r="O18" s="208">
        <f t="shared" si="1"/>
        <v>1</v>
      </c>
    </row>
    <row r="19" spans="1:15" x14ac:dyDescent="0.2">
      <c r="A19" s="209"/>
      <c r="B19" s="210"/>
      <c r="D19" s="63">
        <v>43873</v>
      </c>
      <c r="E19" s="64">
        <f t="shared" si="0"/>
        <v>2</v>
      </c>
      <c r="F19" s="101">
        <v>2</v>
      </c>
      <c r="G19" s="140"/>
      <c r="H19" s="64">
        <f>E19/'Erkrankungs- und Strukturdaten'!$C$7</f>
        <v>3.6363636363636362</v>
      </c>
      <c r="I19" s="64">
        <f t="shared" si="3"/>
        <v>15</v>
      </c>
      <c r="J19" s="64">
        <f t="shared" si="2"/>
        <v>0</v>
      </c>
      <c r="K19" s="101">
        <f>IFERROR(IF(D19=_Datum,Prognoseparameter!$C$14,
IF(_WachstumsrateKURZ="Bundesweit",IF(D19&gt;_Datum,
         K18+AVERAGE(F15:F18)*(1+_WR)*(1-(K18-VLOOKUP('Erkrankungs- und Strukturdaten'!$C$45,$D:$M,$K$1,FALSE))/$B$16),
         K20-$B$23*F20),
IF(D19&gt;_Datum,K18+G19,IF(G20="",K20/(K20^(1/N19)),K20-G20)))),"")</f>
        <v>0</v>
      </c>
      <c r="L19" s="64">
        <f>I19/'Erkrankungs- und Strukturdaten'!$C$7</f>
        <v>27.27272727272727</v>
      </c>
      <c r="M19" s="65">
        <f t="shared" si="4"/>
        <v>0.15384615384615385</v>
      </c>
      <c r="N19" s="163">
        <v>16</v>
      </c>
      <c r="O19" s="208">
        <f t="shared" si="1"/>
        <v>1</v>
      </c>
    </row>
    <row r="20" spans="1:15" x14ac:dyDescent="0.2">
      <c r="A20" s="120"/>
      <c r="D20" s="63">
        <v>43874</v>
      </c>
      <c r="E20" s="64">
        <f t="shared" si="0"/>
        <v>0</v>
      </c>
      <c r="F20" s="101">
        <v>0</v>
      </c>
      <c r="G20" s="140"/>
      <c r="H20" s="64">
        <f>E20/'Erkrankungs- und Strukturdaten'!$C$7</f>
        <v>0</v>
      </c>
      <c r="I20" s="64">
        <f t="shared" si="3"/>
        <v>15</v>
      </c>
      <c r="J20" s="64">
        <f t="shared" si="2"/>
        <v>0</v>
      </c>
      <c r="K20" s="101">
        <f>IFERROR(IF(D20=_Datum,Prognoseparameter!$C$14,
IF(_WachstumsrateKURZ="Bundesweit",IF(D20&gt;_Datum,
         K19+AVERAGE(F16:F19)*(1+_WR)*(1-(K19-VLOOKUP('Erkrankungs- und Strukturdaten'!$C$45,$D:$M,$K$1,FALSE))/$B$16),
         K21-$B$23*F21),
IF(D20&gt;_Datum,K19+G20,IF(G21="",K21/(K21^(1/N20)),K21-G21)))),"")</f>
        <v>0</v>
      </c>
      <c r="L20" s="64">
        <f>I20/'Erkrankungs- und Strukturdaten'!$C$7</f>
        <v>27.27272727272727</v>
      </c>
      <c r="M20" s="65">
        <f t="shared" si="4"/>
        <v>0</v>
      </c>
      <c r="N20" s="163">
        <v>17</v>
      </c>
      <c r="O20" s="208">
        <f t="shared" si="1"/>
        <v>1</v>
      </c>
    </row>
    <row r="21" spans="1:15" x14ac:dyDescent="0.2">
      <c r="A21" s="366" t="s">
        <v>97</v>
      </c>
      <c r="B21" s="366"/>
      <c r="D21" s="63">
        <v>43875</v>
      </c>
      <c r="E21" s="64">
        <f t="shared" si="0"/>
        <v>0</v>
      </c>
      <c r="F21" s="101">
        <v>0</v>
      </c>
      <c r="G21" s="140"/>
      <c r="H21" s="64">
        <f>E21/'Erkrankungs- und Strukturdaten'!$C$7</f>
        <v>0</v>
      </c>
      <c r="I21" s="64">
        <f t="shared" si="3"/>
        <v>15</v>
      </c>
      <c r="J21" s="64">
        <f t="shared" si="2"/>
        <v>0</v>
      </c>
      <c r="K21" s="101">
        <f>IFERROR(IF(D21=_Datum,Prognoseparameter!$C$14,
IF(_WachstumsrateKURZ="Bundesweit",IF(D21&gt;_Datum,
         K20+AVERAGE(F17:F20)*(1+_WR)*(1-(K20-VLOOKUP('Erkrankungs- und Strukturdaten'!$C$45,$D:$M,$K$1,FALSE))/$B$16),
         K22-$B$23*F22),
IF(D21&gt;_Datum,K20+G21,IF(G22="",K22/(K22^(1/N21)),K22-G22)))),"")</f>
        <v>0</v>
      </c>
      <c r="L21" s="64">
        <f>I21/'Erkrankungs- und Strukturdaten'!$C$7</f>
        <v>27.27272727272727</v>
      </c>
      <c r="M21" s="65">
        <f t="shared" si="4"/>
        <v>0</v>
      </c>
      <c r="N21" s="163">
        <v>18</v>
      </c>
      <c r="O21" s="208">
        <f t="shared" si="1"/>
        <v>1</v>
      </c>
    </row>
    <row r="22" spans="1:15" x14ac:dyDescent="0.2">
      <c r="A22" s="365"/>
      <c r="B22" s="365"/>
      <c r="D22" s="63">
        <v>43876</v>
      </c>
      <c r="E22" s="64">
        <f t="shared" si="0"/>
        <v>0</v>
      </c>
      <c r="F22" s="101">
        <v>0</v>
      </c>
      <c r="G22" s="140"/>
      <c r="H22" s="64">
        <f>E22/'Erkrankungs- und Strukturdaten'!$C$7</f>
        <v>0</v>
      </c>
      <c r="I22" s="64">
        <f t="shared" si="3"/>
        <v>15</v>
      </c>
      <c r="J22" s="64">
        <f t="shared" si="2"/>
        <v>0</v>
      </c>
      <c r="K22" s="101">
        <f>IFERROR(IF(D22=_Datum,Prognoseparameter!$C$14,
IF(_WachstumsrateKURZ="Bundesweit",IF(D22&gt;_Datum,
         K21+AVERAGE(F18:F21)*(1+_WR)*(1-(K21-VLOOKUP('Erkrankungs- und Strukturdaten'!$C$45,$D:$M,$K$1,FALSE))/$B$16),
         K23-$B$23*F23),
IF(D22&gt;_Datum,K21+G22,IF(G23="",K23/(K23^(1/N22)),K23-G23)))),"")</f>
        <v>0</v>
      </c>
      <c r="L22" s="64">
        <f>I22/'Erkrankungs- und Strukturdaten'!$C$7</f>
        <v>27.27272727272727</v>
      </c>
      <c r="M22" s="65">
        <f t="shared" si="4"/>
        <v>0</v>
      </c>
      <c r="N22" s="163">
        <v>19</v>
      </c>
      <c r="O22" s="208">
        <f t="shared" si="1"/>
        <v>1</v>
      </c>
    </row>
    <row r="23" spans="1:15" x14ac:dyDescent="0.2">
      <c r="A23" s="83" t="s">
        <v>77</v>
      </c>
      <c r="B23" s="84">
        <f>Prognoseparameter!C14/VLOOKUP(_Datum,'Fallzahlen (Berechnung)'!D:I,$I$1,FALSE)</f>
        <v>0</v>
      </c>
      <c r="D23" s="63">
        <v>43877</v>
      </c>
      <c r="E23" s="64">
        <f t="shared" si="0"/>
        <v>0</v>
      </c>
      <c r="F23" s="101">
        <v>0</v>
      </c>
      <c r="G23" s="140"/>
      <c r="H23" s="64">
        <f>E23/'Erkrankungs- und Strukturdaten'!$C$7</f>
        <v>0</v>
      </c>
      <c r="I23" s="64">
        <f t="shared" si="3"/>
        <v>15</v>
      </c>
      <c r="J23" s="64">
        <f t="shared" si="2"/>
        <v>0</v>
      </c>
      <c r="K23" s="101">
        <f>IFERROR(IF(D23=_Datum,Prognoseparameter!$C$14,
IF(_WachstumsrateKURZ="Bundesweit",IF(D23&gt;_Datum,
         K22+AVERAGE(F19:F22)*(1+_WR)*(1-(K22-VLOOKUP('Erkrankungs- und Strukturdaten'!$C$45,$D:$M,$K$1,FALSE))/$B$16),
         K24-$B$23*F24),
IF(D23&gt;_Datum,K22+G23,IF(G24="",K24/(K24^(1/N23)),K24-G24)))),"")</f>
        <v>0</v>
      </c>
      <c r="L23" s="64">
        <f>I23/'Erkrankungs- und Strukturdaten'!$C$7</f>
        <v>27.27272727272727</v>
      </c>
      <c r="M23" s="65">
        <f t="shared" si="4"/>
        <v>0</v>
      </c>
      <c r="N23" s="163">
        <v>20</v>
      </c>
      <c r="O23" s="208">
        <f t="shared" si="1"/>
        <v>1</v>
      </c>
    </row>
    <row r="24" spans="1:15" x14ac:dyDescent="0.2">
      <c r="A24" s="83" t="s">
        <v>79</v>
      </c>
      <c r="B24" s="141">
        <f>Prognoseparameter!C10*'Erkrankungs- und Strukturdaten'!C6</f>
        <v>5981168.8999999994</v>
      </c>
      <c r="D24" s="63">
        <v>43878</v>
      </c>
      <c r="E24" s="64">
        <f t="shared" si="0"/>
        <v>0</v>
      </c>
      <c r="F24" s="101">
        <v>0</v>
      </c>
      <c r="G24" s="140"/>
      <c r="H24" s="64">
        <f>E24/'Erkrankungs- und Strukturdaten'!$C$7</f>
        <v>0</v>
      </c>
      <c r="I24" s="64">
        <f t="shared" si="3"/>
        <v>15</v>
      </c>
      <c r="J24" s="64">
        <f t="shared" si="2"/>
        <v>0</v>
      </c>
      <c r="K24" s="101">
        <f>IFERROR(IF(D24=_Datum,Prognoseparameter!$C$14,
IF(_WachstumsrateKURZ="Bundesweit",IF(D24&gt;_Datum,
         K23+AVERAGE(F20:F23)*(1+_WR)*(1-(K23-VLOOKUP('Erkrankungs- und Strukturdaten'!$C$45,$D:$M,$K$1,FALSE))/$B$16),
         K25-$B$23*F25),
IF(D24&gt;_Datum,K23+G24,IF(G25="",K25/(K25^(1/N24)),K25-G25)))),"")</f>
        <v>0</v>
      </c>
      <c r="L24" s="64">
        <f>I24/'Erkrankungs- und Strukturdaten'!$C$7</f>
        <v>27.27272727272727</v>
      </c>
      <c r="M24" s="65">
        <f t="shared" si="4"/>
        <v>0</v>
      </c>
      <c r="N24" s="163">
        <v>21</v>
      </c>
      <c r="O24" s="208">
        <f t="shared" si="1"/>
        <v>1</v>
      </c>
    </row>
    <row r="25" spans="1:15" x14ac:dyDescent="0.2">
      <c r="A25" s="120"/>
      <c r="D25" s="63">
        <v>43879</v>
      </c>
      <c r="E25" s="64">
        <f t="shared" si="0"/>
        <v>0</v>
      </c>
      <c r="F25" s="101">
        <v>0</v>
      </c>
      <c r="G25" s="140"/>
      <c r="H25" s="64">
        <f>E25/'Erkrankungs- und Strukturdaten'!$C$7</f>
        <v>0</v>
      </c>
      <c r="I25" s="64">
        <f t="shared" si="3"/>
        <v>15</v>
      </c>
      <c r="J25" s="64">
        <f t="shared" si="2"/>
        <v>0</v>
      </c>
      <c r="K25" s="101">
        <f>IFERROR(IF(D25=_Datum,Prognoseparameter!$C$14,
IF(_WachstumsrateKURZ="Bundesweit",IF(D25&gt;_Datum,
         K24+AVERAGE(F21:F24)*(1+_WR)*(1-(K24-VLOOKUP('Erkrankungs- und Strukturdaten'!$C$45,$D:$M,$K$1,FALSE))/$B$16),
         K26-$B$23*F26),
IF(D25&gt;_Datum,K24+G25,IF(G26="",K26/(K26^(1/N25)),K26-G26)))),"")</f>
        <v>0</v>
      </c>
      <c r="L25" s="64">
        <f>I25/'Erkrankungs- und Strukturdaten'!$C$7</f>
        <v>27.27272727272727</v>
      </c>
      <c r="M25" s="65">
        <f t="shared" si="4"/>
        <v>0</v>
      </c>
      <c r="N25" s="163">
        <v>22</v>
      </c>
      <c r="O25" s="208">
        <f t="shared" si="1"/>
        <v>1</v>
      </c>
    </row>
    <row r="26" spans="1:15" x14ac:dyDescent="0.2">
      <c r="A26" s="83" t="str">
        <f>"Anteil "&amp;_Krankenhaus</f>
        <v>Anteil Spital</v>
      </c>
      <c r="B26" s="84">
        <f>Prognoseparameter!C17*IF(_AusgangswertKURZ="Bevölkerungsanteil",B7,1)</f>
        <v>1</v>
      </c>
      <c r="D26" s="63">
        <v>43880</v>
      </c>
      <c r="E26" s="64">
        <f t="shared" si="0"/>
        <v>0</v>
      </c>
      <c r="F26" s="101">
        <v>0</v>
      </c>
      <c r="G26" s="140"/>
      <c r="H26" s="64">
        <f>E26/'Erkrankungs- und Strukturdaten'!$C$7</f>
        <v>0</v>
      </c>
      <c r="I26" s="64">
        <f t="shared" si="3"/>
        <v>15</v>
      </c>
      <c r="J26" s="64">
        <f t="shared" si="2"/>
        <v>0</v>
      </c>
      <c r="K26" s="101">
        <f>IFERROR(IF(D26=_Datum,Prognoseparameter!$C$14,
IF(_WachstumsrateKURZ="Bundesweit",IF(D26&gt;_Datum,
         K25+AVERAGE(F22:F25)*(1+_WR)*(1-(K25-VLOOKUP('Erkrankungs- und Strukturdaten'!$C$45,$D:$M,$K$1,FALSE))/$B$16),
         K27-$B$23*F27),
IF(D26&gt;_Datum,K25+G26,IF(G27="",K27/(K27^(1/N26)),K27-G27)))),"")</f>
        <v>0</v>
      </c>
      <c r="L26" s="64">
        <f>I26/'Erkrankungs- und Strukturdaten'!$C$7</f>
        <v>27.27272727272727</v>
      </c>
      <c r="M26" s="65">
        <f t="shared" si="4"/>
        <v>0</v>
      </c>
      <c r="N26" s="163">
        <v>23</v>
      </c>
      <c r="O26" s="208">
        <f t="shared" si="1"/>
        <v>1</v>
      </c>
    </row>
    <row r="27" spans="1:15" x14ac:dyDescent="0.2">
      <c r="A27" s="162" t="str">
        <f>"Ausgangswert minus "&amp;Prognoseparameter!U16&amp;" Tage (Fallzahl seit "&amp;TEXT('Erkrankungs- und Strukturdaten'!$C$45,"T.M.JJJJ")&amp;")"</f>
        <v>Ausgangswert minus 4 Tage (Fallzahl seit 18.7.2020)</v>
      </c>
      <c r="B27" s="141">
        <f>IF(_WachstumsrateKURZ="Bundesweit",VLOOKUP(_Datum-Prognoseparameter!U16,D$3:K$1048576,$I$1,FALSE),VLOOKUP(B12-Prognoseparameter!U16,D$3:K$1048576,$J$1+(_AusgangswertKURZ="Regionaler Ausgangswert"),FALSE))
-VLOOKUP('Erkrankungs- und Strukturdaten'!$C$45,$D:$M,$I$1+(_WachstumsrateKURZ&lt;&gt;"Bundesweit")+(_AusgangswertKURZ="Regionaler Ausgangswert"),FALSE)</f>
        <v>586018</v>
      </c>
      <c r="D27" s="63">
        <v>43881</v>
      </c>
      <c r="E27" s="64">
        <f t="shared" si="0"/>
        <v>0</v>
      </c>
      <c r="F27" s="101">
        <v>0</v>
      </c>
      <c r="G27" s="140"/>
      <c r="H27" s="64">
        <f>E27/'Erkrankungs- und Strukturdaten'!$C$7</f>
        <v>0</v>
      </c>
      <c r="I27" s="64">
        <f t="shared" si="3"/>
        <v>15</v>
      </c>
      <c r="J27" s="64">
        <f t="shared" si="2"/>
        <v>0</v>
      </c>
      <c r="K27" s="101">
        <f>IFERROR(IF(D27=_Datum,Prognoseparameter!$C$14,
IF(_WachstumsrateKURZ="Bundesweit",IF(D27&gt;_Datum,
         K26+AVERAGE(F23:F26)*(1+_WR)*(1-(K26-VLOOKUP('Erkrankungs- und Strukturdaten'!$C$45,$D:$M,$K$1,FALSE))/$B$16),
         K28-$B$23*F28),
IF(D27&gt;_Datum,K26+G27,IF(G28="",K28/(K28^(1/N27)),K28-G28)))),"")</f>
        <v>0</v>
      </c>
      <c r="L27" s="64">
        <f>I27/'Erkrankungs- und Strukturdaten'!$C$7</f>
        <v>27.27272727272727</v>
      </c>
      <c r="M27" s="65">
        <f t="shared" si="4"/>
        <v>0</v>
      </c>
      <c r="N27" s="163">
        <v>24</v>
      </c>
      <c r="O27" s="208">
        <f t="shared" si="1"/>
        <v>1</v>
      </c>
    </row>
    <row r="28" spans="1:15" x14ac:dyDescent="0.2">
      <c r="A28" s="162" t="str">
        <f>"Ausgangswert Prognosebeginn  (Fallzahl seit "&amp;TEXT('Erkrankungs- und Strukturdaten'!$C$45,"T.M.JJJJ")&amp;")"</f>
        <v>Ausgangswert Prognosebeginn  (Fallzahl seit 18.7.2020)</v>
      </c>
      <c r="B28" s="141">
        <f>IF(_WachstumsrateKURZ="Bundesweit",VLOOKUP(_Datum,D$3:K$1048576,$I$1,FALSE),VLOOKUP(B12,D$3:K$1048576,$J$1+(_AusgangswertKURZ="Regionaler Ausgangswert"),FALSE))
-VLOOKUP('Erkrankungs- und Strukturdaten'!$C$45,$D:$M,$I$1+(_WachstumsrateKURZ&lt;&gt;"Bundesweit")+(_AusgangswertKURZ="Regionaler Ausgangswert"),FALSE)</f>
        <v>593708</v>
      </c>
      <c r="D28" s="63">
        <v>43882</v>
      </c>
      <c r="E28" s="64">
        <f t="shared" si="0"/>
        <v>0</v>
      </c>
      <c r="F28" s="101">
        <v>0</v>
      </c>
      <c r="G28" s="140"/>
      <c r="H28" s="64">
        <f>E28/'Erkrankungs- und Strukturdaten'!$C$7</f>
        <v>0</v>
      </c>
      <c r="I28" s="64">
        <f t="shared" si="3"/>
        <v>15</v>
      </c>
      <c r="J28" s="64">
        <f t="shared" si="2"/>
        <v>0</v>
      </c>
      <c r="K28" s="101">
        <f>IFERROR(IF(D28=_Datum,Prognoseparameter!$C$14,
IF(_WachstumsrateKURZ="Bundesweit",IF(D28&gt;_Datum,
         K27+AVERAGE(F24:F27)*(1+_WR)*(1-(K27-VLOOKUP('Erkrankungs- und Strukturdaten'!$C$45,$D:$M,$K$1,FALSE))/$B$16),
         K29-$B$23*F29),
IF(D28&gt;_Datum,K27+G28,IF(G29="",K29/(K29^(1/N28)),K29-G29)))),"")</f>
        <v>0</v>
      </c>
      <c r="L28" s="64">
        <f>I28/'Erkrankungs- und Strukturdaten'!$C$7</f>
        <v>27.27272727272727</v>
      </c>
      <c r="M28" s="65">
        <f t="shared" si="4"/>
        <v>0</v>
      </c>
      <c r="N28" s="163">
        <v>25</v>
      </c>
      <c r="O28" s="208">
        <f t="shared" si="1"/>
        <v>1</v>
      </c>
    </row>
    <row r="29" spans="1:15" x14ac:dyDescent="0.2">
      <c r="A29" s="162" t="s">
        <v>101</v>
      </c>
      <c r="B29" s="206">
        <f>IF(_WachstumsrateKURZ=10%,10%,((B28/B27)^(1/Prognoseparameter!U16)-1)/Prognoseparameter!T16)</f>
        <v>3.2645947642415685E-3</v>
      </c>
      <c r="D29" s="63">
        <v>43883</v>
      </c>
      <c r="E29" s="64">
        <f t="shared" si="0"/>
        <v>0</v>
      </c>
      <c r="F29" s="101">
        <v>0</v>
      </c>
      <c r="G29" s="140"/>
      <c r="H29" s="64">
        <f>E29/'Erkrankungs- und Strukturdaten'!$C$7</f>
        <v>0</v>
      </c>
      <c r="I29" s="64">
        <f t="shared" si="3"/>
        <v>15</v>
      </c>
      <c r="J29" s="64">
        <f t="shared" si="2"/>
        <v>0</v>
      </c>
      <c r="K29" s="101">
        <f>IFERROR(IF(D29=_Datum,Prognoseparameter!$C$14,
IF(_WachstumsrateKURZ="Bundesweit",IF(D29&gt;_Datum,
         K28+AVERAGE(F25:F28)*(1+_WR)*(1-(K28-VLOOKUP('Erkrankungs- und Strukturdaten'!$C$45,$D:$M,$K$1,FALSE))/$B$16),
         K30-$B$23*F30),
IF(D29&gt;_Datum,K28+G29,IF(G30="",K30/(K30^(1/N29)),K30-G30)))),"")</f>
        <v>0</v>
      </c>
      <c r="L29" s="64">
        <f>I29/'Erkrankungs- und Strukturdaten'!$C$7</f>
        <v>27.27272727272727</v>
      </c>
      <c r="M29" s="65">
        <f t="shared" si="4"/>
        <v>0</v>
      </c>
      <c r="N29" s="163">
        <v>26</v>
      </c>
      <c r="O29" s="208">
        <f t="shared" si="1"/>
        <v>1</v>
      </c>
    </row>
    <row r="30" spans="1:15" x14ac:dyDescent="0.2">
      <c r="A30" s="143"/>
      <c r="D30" s="63">
        <v>43884</v>
      </c>
      <c r="E30" s="64">
        <f t="shared" si="0"/>
        <v>0</v>
      </c>
      <c r="F30" s="101">
        <v>0</v>
      </c>
      <c r="G30" s="140"/>
      <c r="H30" s="64">
        <f>E30/'Erkrankungs- und Strukturdaten'!$C$7</f>
        <v>0</v>
      </c>
      <c r="I30" s="64">
        <f t="shared" si="3"/>
        <v>15</v>
      </c>
      <c r="J30" s="64">
        <f t="shared" si="2"/>
        <v>0</v>
      </c>
      <c r="K30" s="101">
        <f>IFERROR(IF(D30=_Datum,Prognoseparameter!$C$14,
IF(_WachstumsrateKURZ="Bundesweit",IF(D30&gt;_Datum,
         K29+AVERAGE(F26:F29)*(1+_WR)*(1-(K29-VLOOKUP('Erkrankungs- und Strukturdaten'!$C$45,$D:$M,$K$1,FALSE))/$B$16),
         K31-$B$23*F31),
IF(D30&gt;_Datum,K29+G30,IF(G31="",K31/(K31^(1/N30)),K31-G31)))),"")</f>
        <v>0</v>
      </c>
      <c r="L30" s="64">
        <f>I30/'Erkrankungs- und Strukturdaten'!$C$7</f>
        <v>27.27272727272727</v>
      </c>
      <c r="M30" s="65">
        <f t="shared" si="4"/>
        <v>0</v>
      </c>
      <c r="N30" s="163">
        <v>27</v>
      </c>
      <c r="O30" s="208">
        <f t="shared" si="1"/>
        <v>1</v>
      </c>
    </row>
    <row r="31" spans="1:15" x14ac:dyDescent="0.2">
      <c r="D31" s="63">
        <v>43885</v>
      </c>
      <c r="E31" s="64">
        <f t="shared" si="0"/>
        <v>1</v>
      </c>
      <c r="F31" s="101">
        <v>1</v>
      </c>
      <c r="G31" s="140"/>
      <c r="H31" s="64">
        <f>E31/'Erkrankungs- und Strukturdaten'!$C$7</f>
        <v>1.8181818181818181</v>
      </c>
      <c r="I31" s="64">
        <f t="shared" si="3"/>
        <v>16</v>
      </c>
      <c r="J31" s="64">
        <f t="shared" si="2"/>
        <v>0</v>
      </c>
      <c r="K31" s="101">
        <f>IFERROR(IF(D31=_Datum,Prognoseparameter!$C$14,
IF(_WachstumsrateKURZ="Bundesweit",IF(D31&gt;_Datum,
         K30+AVERAGE(F27:F30)*(1+_WR)*(1-(K30-VLOOKUP('Erkrankungs- und Strukturdaten'!$C$45,$D:$M,$K$1,FALSE))/$B$16),
         K32-$B$23*F32),
IF(D31&gt;_Datum,K30+G31,IF(G32="",K32/(K32^(1/N31)),K32-G32)))),"")</f>
        <v>0</v>
      </c>
      <c r="L31" s="64">
        <f>I31/'Erkrankungs- und Strukturdaten'!$C$7</f>
        <v>29.09090909090909</v>
      </c>
      <c r="M31" s="65">
        <f t="shared" si="4"/>
        <v>6.6666666666666666E-2</v>
      </c>
      <c r="N31" s="163">
        <v>28</v>
      </c>
      <c r="O31" s="208">
        <f t="shared" si="1"/>
        <v>1</v>
      </c>
    </row>
    <row r="32" spans="1:15" x14ac:dyDescent="0.2">
      <c r="A32" s="215" t="s">
        <v>237</v>
      </c>
      <c r="B32" s="214"/>
      <c r="D32" s="63">
        <v>43886</v>
      </c>
      <c r="E32" s="64">
        <f t="shared" si="0"/>
        <v>1</v>
      </c>
      <c r="F32" s="101">
        <v>1</v>
      </c>
      <c r="G32" s="140"/>
      <c r="H32" s="64">
        <f>E32/'Erkrankungs- und Strukturdaten'!$C$7</f>
        <v>1.8181818181818181</v>
      </c>
      <c r="I32" s="64">
        <f t="shared" si="3"/>
        <v>17</v>
      </c>
      <c r="J32" s="64">
        <f t="shared" si="2"/>
        <v>0</v>
      </c>
      <c r="K32" s="101">
        <f>IFERROR(IF(D32=_Datum,Prognoseparameter!$C$14,
IF(_WachstumsrateKURZ="Bundesweit",IF(D32&gt;_Datum,
         K31+AVERAGE(F28:F31)*(1+_WR)*(1-(K31-VLOOKUP('Erkrankungs- und Strukturdaten'!$C$45,$D:$M,$K$1,FALSE))/$B$16),
         K33-$B$23*F33),
IF(D32&gt;_Datum,K31+G32,IF(G33="",K33/(K33^(1/N32)),K33-G33)))),"")</f>
        <v>0</v>
      </c>
      <c r="L32" s="64">
        <f>I32/'Erkrankungs- und Strukturdaten'!$C$7</f>
        <v>30.909090909090907</v>
      </c>
      <c r="M32" s="65">
        <f t="shared" si="4"/>
        <v>6.25E-2</v>
      </c>
      <c r="N32" s="163">
        <v>29</v>
      </c>
      <c r="O32" s="208">
        <f t="shared" si="1"/>
        <v>1</v>
      </c>
    </row>
    <row r="33" spans="1:15" x14ac:dyDescent="0.2">
      <c r="A33" s="211">
        <f>_Datum-7</f>
        <v>44293</v>
      </c>
      <c r="B33" s="141">
        <f t="shared" ref="B33:B39" si="5">AVERAGE(VLOOKUP(A33,D:H,$F$1,FALSE),VLOOKUP(A33-7,D:H,$F$1,FALSE),VLOOKUP(A33-14,D:H,$F$1,FALSE),VLOOKUP(A33-21,D:H,$F$1,FALSE))</f>
        <v>2068.25</v>
      </c>
      <c r="D33" s="63">
        <v>43887</v>
      </c>
      <c r="E33" s="64">
        <f t="shared" si="0"/>
        <v>10</v>
      </c>
      <c r="F33" s="101">
        <v>10</v>
      </c>
      <c r="G33" s="140"/>
      <c r="H33" s="64">
        <f>E33/'Erkrankungs- und Strukturdaten'!$C$7</f>
        <v>18.18181818181818</v>
      </c>
      <c r="I33" s="64">
        <f t="shared" si="3"/>
        <v>27</v>
      </c>
      <c r="J33" s="64">
        <f t="shared" si="2"/>
        <v>0</v>
      </c>
      <c r="K33" s="101">
        <f>IFERROR(IF(D33=_Datum,Prognoseparameter!$C$14,
IF(_WachstumsrateKURZ="Bundesweit",IF(D33&gt;_Datum,
         K32+AVERAGE(F29:F32)*(1+_WR)*(1-(K32-VLOOKUP('Erkrankungs- und Strukturdaten'!$C$45,$D:$M,$K$1,FALSE))/$B$16),
         K34-$B$23*F34),
IF(D33&gt;_Datum,K32+G33,IF(G34="",K34/(K34^(1/N33)),K34-G34)))),"")</f>
        <v>0</v>
      </c>
      <c r="L33" s="64">
        <f>I33/'Erkrankungs- und Strukturdaten'!$C$7</f>
        <v>49.090909090909086</v>
      </c>
      <c r="M33" s="65">
        <f t="shared" si="4"/>
        <v>0.58823529411764708</v>
      </c>
      <c r="N33" s="163">
        <v>30</v>
      </c>
      <c r="O33" s="208">
        <f t="shared" si="1"/>
        <v>1</v>
      </c>
    </row>
    <row r="34" spans="1:15" x14ac:dyDescent="0.2">
      <c r="A34" s="211">
        <f>A33+1</f>
        <v>44294</v>
      </c>
      <c r="B34" s="141">
        <f t="shared" si="5"/>
        <v>2064.5</v>
      </c>
      <c r="D34" s="63">
        <v>43888</v>
      </c>
      <c r="E34" s="64">
        <f t="shared" si="0"/>
        <v>10</v>
      </c>
      <c r="F34" s="101">
        <v>10</v>
      </c>
      <c r="G34" s="140"/>
      <c r="H34" s="64">
        <f>E34/'Erkrankungs- und Strukturdaten'!$C$7</f>
        <v>18.18181818181818</v>
      </c>
      <c r="I34" s="64">
        <f t="shared" si="3"/>
        <v>37</v>
      </c>
      <c r="J34" s="64">
        <f t="shared" si="2"/>
        <v>0</v>
      </c>
      <c r="K34" s="101">
        <f>IFERROR(IF(D34=_Datum,Prognoseparameter!$C$14,
IF(_WachstumsrateKURZ="Bundesweit",IF(D34&gt;_Datum,
         K33+AVERAGE(F30:F33)*(1+_WR)*(1-(K33-VLOOKUP('Erkrankungs- und Strukturdaten'!$C$45,$D:$M,$K$1,FALSE))/$B$16),
         K35-$B$23*F35),
IF(D34&gt;_Datum,K33+G34,IF(G35="",K35/(K35^(1/N34)),K35-G35)))),"")</f>
        <v>0</v>
      </c>
      <c r="L34" s="64">
        <f>I34/'Erkrankungs- und Strukturdaten'!$C$7</f>
        <v>67.272727272727266</v>
      </c>
      <c r="M34" s="65">
        <f t="shared" si="4"/>
        <v>0.37037037037037035</v>
      </c>
      <c r="N34" s="163">
        <v>31</v>
      </c>
      <c r="O34" s="208">
        <f t="shared" si="1"/>
        <v>1</v>
      </c>
    </row>
    <row r="35" spans="1:15" x14ac:dyDescent="0.2">
      <c r="A35" s="211">
        <f t="shared" ref="A35:A38" si="6">A34+1</f>
        <v>44295</v>
      </c>
      <c r="B35" s="141">
        <f t="shared" si="5"/>
        <v>1788</v>
      </c>
      <c r="D35" s="63">
        <v>43889</v>
      </c>
      <c r="E35" s="64">
        <f t="shared" si="0"/>
        <v>10</v>
      </c>
      <c r="F35" s="101">
        <v>10</v>
      </c>
      <c r="G35" s="140"/>
      <c r="H35" s="64">
        <f>E35/'Erkrankungs- und Strukturdaten'!$C$7</f>
        <v>18.18181818181818</v>
      </c>
      <c r="I35" s="64">
        <f t="shared" si="3"/>
        <v>47</v>
      </c>
      <c r="J35" s="64">
        <f t="shared" si="2"/>
        <v>0</v>
      </c>
      <c r="K35" s="101">
        <f>IFERROR(IF(D35=_Datum,Prognoseparameter!$C$14,
IF(_WachstumsrateKURZ="Bundesweit",IF(D35&gt;_Datum,
         K34+AVERAGE(F31:F34)*(1+_WR)*(1-(K34-VLOOKUP('Erkrankungs- und Strukturdaten'!$C$45,$D:$M,$K$1,FALSE))/$B$16),
         K36-$B$23*F36),
IF(D35&gt;_Datum,K34+G35,IF(G36="",K36/(K36^(1/N35)),K36-G36)))),"")</f>
        <v>0</v>
      </c>
      <c r="L35" s="64">
        <f>I35/'Erkrankungs- und Strukturdaten'!$C$7</f>
        <v>85.454545454545453</v>
      </c>
      <c r="M35" s="65">
        <f t="shared" si="4"/>
        <v>0.27027027027027029</v>
      </c>
      <c r="N35" s="163">
        <v>32</v>
      </c>
      <c r="O35" s="208">
        <f t="shared" si="1"/>
        <v>1</v>
      </c>
    </row>
    <row r="36" spans="1:15" x14ac:dyDescent="0.2">
      <c r="A36" s="211">
        <f t="shared" si="6"/>
        <v>44296</v>
      </c>
      <c r="B36" s="141">
        <f t="shared" si="5"/>
        <v>1328.25</v>
      </c>
      <c r="D36" s="63">
        <v>43890</v>
      </c>
      <c r="E36" s="64">
        <f t="shared" si="0"/>
        <v>13</v>
      </c>
      <c r="F36" s="101">
        <v>13</v>
      </c>
      <c r="G36" s="140"/>
      <c r="H36" s="64">
        <f>E36/'Erkrankungs- und Strukturdaten'!$C$7</f>
        <v>23.636363636363633</v>
      </c>
      <c r="I36" s="64">
        <f t="shared" si="3"/>
        <v>60</v>
      </c>
      <c r="J36" s="64">
        <f t="shared" si="2"/>
        <v>0</v>
      </c>
      <c r="K36" s="101">
        <f>IFERROR(IF(D36=_Datum,Prognoseparameter!$C$14,
IF(_WachstumsrateKURZ="Bundesweit",IF(D36&gt;_Datum,
         K35+AVERAGE(F32:F35)*(1+_WR)*(1-(K35-VLOOKUP('Erkrankungs- und Strukturdaten'!$C$45,$D:$M,$K$1,FALSE))/$B$16),
         K37-$B$23*F37),
IF(D36&gt;_Datum,K35+G36,IF(G37="",K37/(K37^(1/N36)),K37-G37)))),"")</f>
        <v>0</v>
      </c>
      <c r="L36" s="64">
        <f>I36/'Erkrankungs- und Strukturdaten'!$C$7</f>
        <v>109.09090909090908</v>
      </c>
      <c r="M36" s="65">
        <f t="shared" si="4"/>
        <v>0.27659574468085107</v>
      </c>
      <c r="N36" s="163">
        <v>33</v>
      </c>
      <c r="O36" s="208">
        <f t="shared" si="1"/>
        <v>1</v>
      </c>
    </row>
    <row r="37" spans="1:15" x14ac:dyDescent="0.2">
      <c r="A37" s="211">
        <f t="shared" si="6"/>
        <v>44297</v>
      </c>
      <c r="B37" s="141">
        <f t="shared" si="5"/>
        <v>994.5</v>
      </c>
      <c r="D37" s="63">
        <v>43891</v>
      </c>
      <c r="E37" s="64">
        <f t="shared" si="0"/>
        <v>11</v>
      </c>
      <c r="F37" s="101">
        <v>11</v>
      </c>
      <c r="G37" s="140"/>
      <c r="H37" s="64">
        <f>E37/'Erkrankungs- und Strukturdaten'!$C$7</f>
        <v>20</v>
      </c>
      <c r="I37" s="64">
        <f t="shared" si="3"/>
        <v>71</v>
      </c>
      <c r="J37" s="64">
        <f t="shared" si="2"/>
        <v>0</v>
      </c>
      <c r="K37" s="101">
        <f>IFERROR(IF(D37=_Datum,Prognoseparameter!$C$14,
IF(_WachstumsrateKURZ="Bundesweit",IF(D37&gt;_Datum,
         K36+AVERAGE(F33:F36)*(1+_WR)*(1-(K36-VLOOKUP('Erkrankungs- und Strukturdaten'!$C$45,$D:$M,$K$1,FALSE))/$B$16),
         K38-$B$23*F38),
IF(D37&gt;_Datum,K36+G37,IF(G38="",K38/(K38^(1/N37)),K38-G38)))),"")</f>
        <v>0</v>
      </c>
      <c r="L37" s="64">
        <f>I37/'Erkrankungs- und Strukturdaten'!$C$7</f>
        <v>129.09090909090909</v>
      </c>
      <c r="M37" s="65">
        <f t="shared" si="4"/>
        <v>0.18333333333333332</v>
      </c>
      <c r="N37" s="163">
        <v>34</v>
      </c>
      <c r="O37" s="208">
        <f t="shared" si="1"/>
        <v>1</v>
      </c>
    </row>
    <row r="38" spans="1:15" x14ac:dyDescent="0.2">
      <c r="A38" s="211">
        <f t="shared" si="6"/>
        <v>44298</v>
      </c>
      <c r="B38" s="141">
        <f t="shared" si="5"/>
        <v>2203.75</v>
      </c>
      <c r="D38" s="63">
        <v>43892</v>
      </c>
      <c r="E38" s="64">
        <f t="shared" si="0"/>
        <v>30</v>
      </c>
      <c r="F38" s="101">
        <v>30</v>
      </c>
      <c r="G38" s="140"/>
      <c r="H38" s="64">
        <f>E38/'Erkrankungs- und Strukturdaten'!$C$7</f>
        <v>54.54545454545454</v>
      </c>
      <c r="I38" s="64">
        <f t="shared" si="3"/>
        <v>101</v>
      </c>
      <c r="J38" s="64">
        <f t="shared" si="2"/>
        <v>0</v>
      </c>
      <c r="K38" s="101">
        <f>IFERROR(IF(D38=_Datum,Prognoseparameter!$C$14,
IF(_WachstumsrateKURZ="Bundesweit",IF(D38&gt;_Datum,
         K37+AVERAGE(F34:F37)*(1+_WR)*(1-(K37-VLOOKUP('Erkrankungs- und Strukturdaten'!$C$45,$D:$M,$K$1,FALSE))/$B$16),
         K39-$B$23*F39),
IF(D38&gt;_Datum,K37+G38,IF(G39="",K39/(K39^(1/N38)),K39-G39)))),"")</f>
        <v>0</v>
      </c>
      <c r="L38" s="64">
        <f>I38/'Erkrankungs- und Strukturdaten'!$C$7</f>
        <v>183.63636363636363</v>
      </c>
      <c r="M38" s="65">
        <f t="shared" si="4"/>
        <v>0.42253521126760563</v>
      </c>
      <c r="N38" s="163">
        <v>35</v>
      </c>
      <c r="O38" s="208">
        <f t="shared" si="1"/>
        <v>1</v>
      </c>
    </row>
    <row r="39" spans="1:15" x14ac:dyDescent="0.2">
      <c r="A39" s="211">
        <f>A38+1</f>
        <v>44299</v>
      </c>
      <c r="B39" s="141">
        <f t="shared" si="5"/>
        <v>2274.75</v>
      </c>
      <c r="D39" s="63">
        <v>43893</v>
      </c>
      <c r="E39" s="64">
        <f t="shared" si="0"/>
        <v>33</v>
      </c>
      <c r="F39" s="101">
        <v>33</v>
      </c>
      <c r="G39" s="140"/>
      <c r="H39" s="64">
        <f>E39/'Erkrankungs- und Strukturdaten'!$C$7</f>
        <v>59.999999999999993</v>
      </c>
      <c r="I39" s="64">
        <f t="shared" si="3"/>
        <v>134</v>
      </c>
      <c r="J39" s="64">
        <f t="shared" si="2"/>
        <v>0</v>
      </c>
      <c r="K39" s="101">
        <f>IFERROR(IF(D39=_Datum,Prognoseparameter!$C$14,
IF(_WachstumsrateKURZ="Bundesweit",IF(D39&gt;_Datum,
         K38+AVERAGE(F35:F38)*(1+_WR)*(1-(K38-VLOOKUP('Erkrankungs- und Strukturdaten'!$C$45,$D:$M,$K$1,FALSE))/$B$16),
         K40-$B$23*F40),
IF(D39&gt;_Datum,K38+G39,IF(G40="",K40/(K40^(1/N39)),K40-G40)))),"")</f>
        <v>0</v>
      </c>
      <c r="L39" s="64">
        <f>I39/'Erkrankungs- und Strukturdaten'!$C$7</f>
        <v>243.63636363636363</v>
      </c>
      <c r="M39" s="65">
        <f t="shared" si="4"/>
        <v>0.32673267326732675</v>
      </c>
      <c r="N39" s="163">
        <v>36</v>
      </c>
      <c r="O39" s="208">
        <f t="shared" si="1"/>
        <v>1</v>
      </c>
    </row>
    <row r="40" spans="1:15" x14ac:dyDescent="0.2">
      <c r="A40" s="209"/>
      <c r="B40" s="210"/>
      <c r="D40" s="63">
        <v>43894</v>
      </c>
      <c r="E40" s="64">
        <f t="shared" si="0"/>
        <v>61</v>
      </c>
      <c r="F40" s="101">
        <v>61</v>
      </c>
      <c r="G40" s="140"/>
      <c r="H40" s="64">
        <f>E40/'Erkrankungs- und Strukturdaten'!$C$7</f>
        <v>110.90909090909091</v>
      </c>
      <c r="I40" s="64">
        <f t="shared" si="3"/>
        <v>195</v>
      </c>
      <c r="J40" s="64">
        <f t="shared" si="2"/>
        <v>0</v>
      </c>
      <c r="K40" s="101">
        <f>IFERROR(IF(D40=_Datum,Prognoseparameter!$C$14,
IF(_WachstumsrateKURZ="Bundesweit",IF(D40&gt;_Datum,
         K39+AVERAGE(F36:F39)*(1+_WR)*(1-(K39-VLOOKUP('Erkrankungs- und Strukturdaten'!$C$45,$D:$M,$K$1,FALSE))/$B$16),
         K41-$B$23*F41),
IF(D40&gt;_Datum,K39+G40,IF(G41="",K41/(K41^(1/N40)),K41-G41)))),"")</f>
        <v>0</v>
      </c>
      <c r="L40" s="64">
        <f>I40/'Erkrankungs- und Strukturdaten'!$C$7</f>
        <v>354.5454545454545</v>
      </c>
      <c r="M40" s="65">
        <f t="shared" si="4"/>
        <v>0.45522388059701491</v>
      </c>
      <c r="N40" s="163">
        <v>37</v>
      </c>
      <c r="O40" s="208">
        <f t="shared" si="1"/>
        <v>1</v>
      </c>
    </row>
    <row r="41" spans="1:15" x14ac:dyDescent="0.2">
      <c r="A41" s="215" t="s">
        <v>238</v>
      </c>
      <c r="B41" s="214"/>
      <c r="D41" s="63">
        <v>43895</v>
      </c>
      <c r="E41" s="64">
        <f t="shared" si="0"/>
        <v>62</v>
      </c>
      <c r="F41" s="101">
        <v>62</v>
      </c>
      <c r="G41" s="140"/>
      <c r="H41" s="64">
        <f>E41/'Erkrankungs- und Strukturdaten'!$C$7</f>
        <v>112.72727272727272</v>
      </c>
      <c r="I41" s="64">
        <f t="shared" si="3"/>
        <v>257</v>
      </c>
      <c r="J41" s="64">
        <f t="shared" si="2"/>
        <v>0</v>
      </c>
      <c r="K41" s="101">
        <f>IFERROR(IF(D41=_Datum,Prognoseparameter!$C$14,
IF(_WachstumsrateKURZ="Bundesweit",IF(D41&gt;_Datum,
         K40+AVERAGE(F37:F40)*(1+_WR)*(1-(K40-VLOOKUP('Erkrankungs- und Strukturdaten'!$C$45,$D:$M,$K$1,FALSE))/$B$16),
         K42-$B$23*F42),
IF(D41&gt;_Datum,K40+G41,IF(G42="",K42/(K42^(1/N41)),K42-G42)))),"")</f>
        <v>0</v>
      </c>
      <c r="L41" s="64">
        <f>I41/'Erkrankungs- und Strukturdaten'!$C$7</f>
        <v>467.27272727272725</v>
      </c>
      <c r="M41" s="65">
        <f t="shared" si="4"/>
        <v>0.31794871794871793</v>
      </c>
      <c r="N41" s="163">
        <v>38</v>
      </c>
      <c r="O41" s="208">
        <f t="shared" si="1"/>
        <v>1</v>
      </c>
    </row>
    <row r="42" spans="1:15" x14ac:dyDescent="0.2">
      <c r="A42" s="211">
        <f>_Datum-7</f>
        <v>44293</v>
      </c>
      <c r="B42" s="141">
        <f t="shared" ref="B42:B48" si="7">IF(_Datum-$D$4&gt;=COUNTA(D:D)-COUNTA(G:G)+27,AVERAGE(VLOOKUP(A42,D:H,$G$1,FALSE),VLOOKUP(A42-7,D:H,$G$1,FALSE),VLOOKUP(A42-14,D:H,$G$1,FALSE),VLOOKUP(A42-21,D:H,$G$1,FALSE)),1)</f>
        <v>1</v>
      </c>
      <c r="D42" s="63">
        <v>43896</v>
      </c>
      <c r="E42" s="64">
        <f t="shared" si="0"/>
        <v>73</v>
      </c>
      <c r="F42" s="101">
        <v>73</v>
      </c>
      <c r="G42" s="140"/>
      <c r="H42" s="64">
        <f>E42/'Erkrankungs- und Strukturdaten'!$C$7</f>
        <v>132.72727272727272</v>
      </c>
      <c r="I42" s="64">
        <f t="shared" si="3"/>
        <v>330</v>
      </c>
      <c r="J42" s="64">
        <f t="shared" si="2"/>
        <v>0</v>
      </c>
      <c r="K42" s="101">
        <f>IFERROR(IF(D42=_Datum,Prognoseparameter!$C$14,
IF(_WachstumsrateKURZ="Bundesweit",IF(D42&gt;_Datum,
         K41+AVERAGE(F38:F41)*(1+_WR)*(1-(K41-VLOOKUP('Erkrankungs- und Strukturdaten'!$C$45,$D:$M,$K$1,FALSE))/$B$16),
         K43-$B$23*F43),
IF(D42&gt;_Datum,K41+G42,IF(G43="",K43/(K43^(1/N42)),K43-G43)))),"")</f>
        <v>0</v>
      </c>
      <c r="L42" s="64">
        <f>I42/'Erkrankungs- und Strukturdaten'!$C$7</f>
        <v>600</v>
      </c>
      <c r="M42" s="65">
        <f t="shared" si="4"/>
        <v>0.28404669260700388</v>
      </c>
      <c r="N42" s="163">
        <v>39</v>
      </c>
      <c r="O42" s="208">
        <f t="shared" si="1"/>
        <v>1</v>
      </c>
    </row>
    <row r="43" spans="1:15" x14ac:dyDescent="0.2">
      <c r="A43" s="211">
        <f>A42+1</f>
        <v>44294</v>
      </c>
      <c r="B43" s="141">
        <f t="shared" si="7"/>
        <v>1</v>
      </c>
      <c r="D43" s="63">
        <v>43897</v>
      </c>
      <c r="E43" s="64">
        <f t="shared" si="0"/>
        <v>49</v>
      </c>
      <c r="F43" s="101">
        <v>49</v>
      </c>
      <c r="G43" s="140"/>
      <c r="H43" s="64">
        <f>E43/'Erkrankungs- und Strukturdaten'!$C$7</f>
        <v>89.090909090909079</v>
      </c>
      <c r="I43" s="64">
        <f t="shared" si="3"/>
        <v>379</v>
      </c>
      <c r="J43" s="64">
        <f t="shared" si="2"/>
        <v>0</v>
      </c>
      <c r="K43" s="101">
        <f>IFERROR(IF(D43=_Datum,Prognoseparameter!$C$14,
IF(_WachstumsrateKURZ="Bundesweit",IF(D43&gt;_Datum,
         K42+AVERAGE(F39:F42)*(1+_WR)*(1-(K42-VLOOKUP('Erkrankungs- und Strukturdaten'!$C$45,$D:$M,$K$1,FALSE))/$B$16),
         K44-$B$23*F44),
IF(D43&gt;_Datum,K42+G43,IF(G44="",K44/(K44^(1/N43)),K44-G44)))),"")</f>
        <v>0</v>
      </c>
      <c r="L43" s="64">
        <f>I43/'Erkrankungs- und Strukturdaten'!$C$7</f>
        <v>689.09090909090901</v>
      </c>
      <c r="M43" s="65">
        <f t="shared" si="4"/>
        <v>0.1484848484848485</v>
      </c>
      <c r="N43" s="163">
        <v>40</v>
      </c>
      <c r="O43" s="208">
        <f t="shared" si="1"/>
        <v>1</v>
      </c>
    </row>
    <row r="44" spans="1:15" x14ac:dyDescent="0.2">
      <c r="A44" s="211">
        <f t="shared" ref="A44:A47" si="8">A43+1</f>
        <v>44295</v>
      </c>
      <c r="B44" s="141">
        <f t="shared" si="7"/>
        <v>1</v>
      </c>
      <c r="D44" s="63">
        <v>43898</v>
      </c>
      <c r="E44" s="64">
        <f t="shared" si="0"/>
        <v>68</v>
      </c>
      <c r="F44" s="101">
        <v>68</v>
      </c>
      <c r="G44" s="140"/>
      <c r="H44" s="64">
        <f>E44/'Erkrankungs- und Strukturdaten'!$C$7</f>
        <v>123.63636363636363</v>
      </c>
      <c r="I44" s="64">
        <f t="shared" si="3"/>
        <v>447</v>
      </c>
      <c r="J44" s="64">
        <f t="shared" si="2"/>
        <v>0</v>
      </c>
      <c r="K44" s="101">
        <f>IFERROR(IF(D44=_Datum,Prognoseparameter!$C$14,
IF(_WachstumsrateKURZ="Bundesweit",IF(D44&gt;_Datum,
         K43+AVERAGE(F40:F43)*(1+_WR)*(1-(K43-VLOOKUP('Erkrankungs- und Strukturdaten'!$C$45,$D:$M,$K$1,FALSE))/$B$16),
         K45-$B$23*F45),
IF(D44&gt;_Datum,K43+G44,IF(G45="",K45/(K45^(1/N44)),K45-G45)))),"")</f>
        <v>0</v>
      </c>
      <c r="L44" s="64">
        <f>I44/'Erkrankungs- und Strukturdaten'!$C$7</f>
        <v>812.72727272727263</v>
      </c>
      <c r="M44" s="65">
        <f t="shared" si="4"/>
        <v>0.17941952506596306</v>
      </c>
      <c r="N44" s="163">
        <v>41</v>
      </c>
      <c r="O44" s="208">
        <f t="shared" si="1"/>
        <v>1</v>
      </c>
    </row>
    <row r="45" spans="1:15" x14ac:dyDescent="0.2">
      <c r="A45" s="211">
        <f t="shared" si="8"/>
        <v>44296</v>
      </c>
      <c r="B45" s="141">
        <f t="shared" si="7"/>
        <v>1</v>
      </c>
      <c r="D45" s="63">
        <v>43899</v>
      </c>
      <c r="E45" s="64">
        <f t="shared" si="0"/>
        <v>192</v>
      </c>
      <c r="F45" s="101">
        <v>192</v>
      </c>
      <c r="G45" s="140"/>
      <c r="H45" s="64">
        <f>E45/'Erkrankungs- und Strukturdaten'!$C$7</f>
        <v>349.09090909090907</v>
      </c>
      <c r="I45" s="64">
        <f t="shared" si="3"/>
        <v>639</v>
      </c>
      <c r="J45" s="64">
        <f t="shared" si="2"/>
        <v>0</v>
      </c>
      <c r="K45" s="101">
        <f>IFERROR(IF(D45=_Datum,Prognoseparameter!$C$14,
IF(_WachstumsrateKURZ="Bundesweit",IF(D45&gt;_Datum,
         K44+AVERAGE(F41:F44)*(1+_WR)*(1-(K44-VLOOKUP('Erkrankungs- und Strukturdaten'!$C$45,$D:$M,$K$1,FALSE))/$B$16),
         K46-$B$23*F46),
IF(D45&gt;_Datum,K44+G45,IF(G46="",K46/(K46^(1/N45)),K46-G46)))),"")</f>
        <v>0</v>
      </c>
      <c r="L45" s="64">
        <f>I45/'Erkrankungs- und Strukturdaten'!$C$7</f>
        <v>1161.8181818181818</v>
      </c>
      <c r="M45" s="65">
        <f t="shared" si="4"/>
        <v>0.42953020134228187</v>
      </c>
      <c r="N45" s="163">
        <v>42</v>
      </c>
      <c r="O45" s="208">
        <f t="shared" si="1"/>
        <v>1</v>
      </c>
    </row>
    <row r="46" spans="1:15" x14ac:dyDescent="0.2">
      <c r="A46" s="211">
        <f t="shared" si="8"/>
        <v>44297</v>
      </c>
      <c r="B46" s="141">
        <f t="shared" si="7"/>
        <v>1</v>
      </c>
      <c r="D46" s="63">
        <v>43900</v>
      </c>
      <c r="E46" s="64">
        <f t="shared" si="0"/>
        <v>210</v>
      </c>
      <c r="F46" s="101">
        <v>210</v>
      </c>
      <c r="G46" s="140"/>
      <c r="H46" s="64">
        <f>E46/'Erkrankungs- und Strukturdaten'!$C$7</f>
        <v>381.81818181818181</v>
      </c>
      <c r="I46" s="64">
        <f t="shared" si="3"/>
        <v>849</v>
      </c>
      <c r="J46" s="64">
        <f t="shared" si="2"/>
        <v>0</v>
      </c>
      <c r="K46" s="101">
        <f>IFERROR(IF(D46=_Datum,Prognoseparameter!$C$14,
IF(_WachstumsrateKURZ="Bundesweit",IF(D46&gt;_Datum,
         K45+AVERAGE(F42:F45)*(1+_WR)*(1-(K45-VLOOKUP('Erkrankungs- und Strukturdaten'!$C$45,$D:$M,$K$1,FALSE))/$B$16),
         K47-$B$23*F47),
IF(D46&gt;_Datum,K45+G46,IF(G47="",K47/(K47^(1/N46)),K47-G47)))),"")</f>
        <v>0</v>
      </c>
      <c r="L46" s="64">
        <f>I46/'Erkrankungs- und Strukturdaten'!$C$7</f>
        <v>1543.6363636363635</v>
      </c>
      <c r="M46" s="65">
        <f t="shared" si="4"/>
        <v>0.32863849765258218</v>
      </c>
      <c r="N46" s="163">
        <v>43</v>
      </c>
      <c r="O46" s="208">
        <f t="shared" si="1"/>
        <v>1</v>
      </c>
    </row>
    <row r="47" spans="1:15" x14ac:dyDescent="0.2">
      <c r="A47" s="211">
        <f t="shared" si="8"/>
        <v>44298</v>
      </c>
      <c r="B47" s="141">
        <f t="shared" si="7"/>
        <v>1</v>
      </c>
      <c r="D47" s="63">
        <v>43901</v>
      </c>
      <c r="E47" s="64">
        <f t="shared" si="0"/>
        <v>333</v>
      </c>
      <c r="F47" s="101">
        <v>333</v>
      </c>
      <c r="G47" s="140"/>
      <c r="H47" s="64">
        <f>E47/'Erkrankungs- und Strukturdaten'!$C$7</f>
        <v>605.45454545454538</v>
      </c>
      <c r="I47" s="64">
        <f t="shared" si="3"/>
        <v>1182</v>
      </c>
      <c r="J47" s="64">
        <f t="shared" si="2"/>
        <v>0</v>
      </c>
      <c r="K47" s="101">
        <f>IFERROR(IF(D47=_Datum,Prognoseparameter!$C$14,
IF(_WachstumsrateKURZ="Bundesweit",IF(D47&gt;_Datum,
         K46+AVERAGE(F43:F46)*(1+_WR)*(1-(K46-VLOOKUP('Erkrankungs- und Strukturdaten'!$C$45,$D:$M,$K$1,FALSE))/$B$16),
         K48-$B$23*F48),
IF(D47&gt;_Datum,K46+G47,IF(G48="",K48/(K48^(1/N47)),K48-G48)))),"")</f>
        <v>0</v>
      </c>
      <c r="L47" s="64">
        <f>I47/'Erkrankungs- und Strukturdaten'!$C$7</f>
        <v>2149.090909090909</v>
      </c>
      <c r="M47" s="65">
        <f t="shared" si="4"/>
        <v>0.392226148409894</v>
      </c>
      <c r="N47" s="163">
        <v>44</v>
      </c>
      <c r="O47" s="208">
        <f t="shared" si="1"/>
        <v>1</v>
      </c>
    </row>
    <row r="48" spans="1:15" x14ac:dyDescent="0.2">
      <c r="A48" s="211">
        <f>A47+1</f>
        <v>44299</v>
      </c>
      <c r="B48" s="141">
        <f t="shared" si="7"/>
        <v>1</v>
      </c>
      <c r="D48" s="63">
        <v>43902</v>
      </c>
      <c r="E48" s="64">
        <f t="shared" si="0"/>
        <v>356</v>
      </c>
      <c r="F48" s="101">
        <v>356</v>
      </c>
      <c r="G48" s="140"/>
      <c r="H48" s="64">
        <f>E48/'Erkrankungs- und Strukturdaten'!$C$7</f>
        <v>647.27272727272725</v>
      </c>
      <c r="I48" s="64">
        <f t="shared" si="3"/>
        <v>1538</v>
      </c>
      <c r="J48" s="64">
        <f t="shared" si="2"/>
        <v>0</v>
      </c>
      <c r="K48" s="101">
        <f>IFERROR(IF(D48=_Datum,Prognoseparameter!$C$14,
IF(_WachstumsrateKURZ="Bundesweit",IF(D48&gt;_Datum,
         K47+AVERAGE(F44:F47)*(1+_WR)*(1-(K47-VLOOKUP('Erkrankungs- und Strukturdaten'!$C$45,$D:$M,$K$1,FALSE))/$B$16),
         K49-$B$23*F49),
IF(D48&gt;_Datum,K47+G48,IF(G49="",K49/(K49^(1/N48)),K49-G49)))),"")</f>
        <v>0</v>
      </c>
      <c r="L48" s="64">
        <f>I48/'Erkrankungs- und Strukturdaten'!$C$7</f>
        <v>2796.363636363636</v>
      </c>
      <c r="M48" s="65">
        <f t="shared" si="4"/>
        <v>0.30118443316412857</v>
      </c>
      <c r="N48" s="163">
        <v>45</v>
      </c>
      <c r="O48" s="208">
        <f t="shared" si="1"/>
        <v>1</v>
      </c>
    </row>
    <row r="49" spans="1:15" x14ac:dyDescent="0.2">
      <c r="A49" s="209"/>
      <c r="B49" s="210"/>
      <c r="D49" s="63">
        <v>43903</v>
      </c>
      <c r="E49" s="64">
        <f t="shared" si="0"/>
        <v>431</v>
      </c>
      <c r="F49" s="101">
        <v>431</v>
      </c>
      <c r="G49" s="140"/>
      <c r="H49" s="64">
        <f>E49/'Erkrankungs- und Strukturdaten'!$C$7</f>
        <v>783.63636363636363</v>
      </c>
      <c r="I49" s="64">
        <f t="shared" si="3"/>
        <v>1969</v>
      </c>
      <c r="J49" s="64">
        <f t="shared" si="2"/>
        <v>0</v>
      </c>
      <c r="K49" s="101">
        <f>IFERROR(IF(D49=_Datum,Prognoseparameter!$C$14,
IF(_WachstumsrateKURZ="Bundesweit",IF(D49&gt;_Datum,
         K48+AVERAGE(F45:F48)*(1+_WR)*(1-(K48-VLOOKUP('Erkrankungs- und Strukturdaten'!$C$45,$D:$M,$K$1,FALSE))/$B$16),
         K50-$B$23*F50),
IF(D49&gt;_Datum,K48+G49,IF(G50="",K50/(K50^(1/N49)),K50-G50)))),"")</f>
        <v>0</v>
      </c>
      <c r="L49" s="64">
        <f>I49/'Erkrankungs- und Strukturdaten'!$C$7</f>
        <v>3579.9999999999995</v>
      </c>
      <c r="M49" s="65">
        <f t="shared" si="4"/>
        <v>0.28023407022106633</v>
      </c>
      <c r="N49" s="163">
        <v>46</v>
      </c>
      <c r="O49" s="208">
        <f t="shared" si="1"/>
        <v>1</v>
      </c>
    </row>
    <row r="50" spans="1:15" x14ac:dyDescent="0.2">
      <c r="A50" s="215" t="s">
        <v>236</v>
      </c>
      <c r="B50" s="214"/>
      <c r="D50" s="63">
        <v>43904</v>
      </c>
      <c r="E50" s="64">
        <f t="shared" si="0"/>
        <v>416</v>
      </c>
      <c r="F50" s="101">
        <v>416</v>
      </c>
      <c r="G50" s="140"/>
      <c r="H50" s="64">
        <f>E50/'Erkrankungs- und Strukturdaten'!$C$7</f>
        <v>756.36363636363626</v>
      </c>
      <c r="I50" s="64">
        <f t="shared" si="3"/>
        <v>2385</v>
      </c>
      <c r="J50" s="64">
        <f t="shared" si="2"/>
        <v>0</v>
      </c>
      <c r="K50" s="101">
        <f>IFERROR(IF(D50=_Datum,Prognoseparameter!$C$14,
IF(_WachstumsrateKURZ="Bundesweit",IF(D50&gt;_Datum,
         K49+AVERAGE(F46:F49)*(1+_WR)*(1-(K49-VLOOKUP('Erkrankungs- und Strukturdaten'!$C$45,$D:$M,$K$1,FALSE))/$B$16),
         K51-$B$23*F51),
IF(D50&gt;_Datum,K49+G50,IF(G51="",K51/(K51^(1/N50)),K51-G51)))),"")</f>
        <v>0</v>
      </c>
      <c r="L50" s="64">
        <f>I50/'Erkrankungs- und Strukturdaten'!$C$7</f>
        <v>4336.363636363636</v>
      </c>
      <c r="M50" s="65">
        <f t="shared" si="4"/>
        <v>0.21127475876079227</v>
      </c>
      <c r="N50" s="163">
        <v>47</v>
      </c>
      <c r="O50" s="208">
        <f t="shared" si="1"/>
        <v>1</v>
      </c>
    </row>
    <row r="51" spans="1:15" x14ac:dyDescent="0.2">
      <c r="A51" s="211">
        <f>WEEKDAY(_Datum-7,1)</f>
        <v>4</v>
      </c>
      <c r="B51" s="84">
        <f t="shared" ref="B51:B57" si="9">IF(_WachstumsrateKURZ="Bundesweit",B33/AVERAGE($B$33:$B$39),IF(_WachstumsrateKURZ="Gebietsbezogen",B42/AVERAGE($B$42:$B$48),1))</f>
        <v>1.1380089608552115</v>
      </c>
      <c r="D51" s="63">
        <v>43905</v>
      </c>
      <c r="E51" s="64">
        <f t="shared" si="0"/>
        <v>325</v>
      </c>
      <c r="F51" s="101">
        <v>325</v>
      </c>
      <c r="G51" s="140"/>
      <c r="H51" s="64">
        <f>E51/'Erkrankungs- und Strukturdaten'!$C$7</f>
        <v>590.90909090909088</v>
      </c>
      <c r="I51" s="64">
        <f t="shared" si="3"/>
        <v>2710</v>
      </c>
      <c r="J51" s="64">
        <f t="shared" si="2"/>
        <v>0</v>
      </c>
      <c r="K51" s="101">
        <f>IFERROR(IF(D51=_Datum,Prognoseparameter!$C$14,
IF(_WachstumsrateKURZ="Bundesweit",IF(D51&gt;_Datum,
         K50+AVERAGE(F47:F50)*(1+_WR)*(1-(K50-VLOOKUP('Erkrankungs- und Strukturdaten'!$C$45,$D:$M,$K$1,FALSE))/$B$16),
         K52-$B$23*F52),
IF(D51&gt;_Datum,K50+G51,IF(G52="",K52/(K52^(1/N51)),K52-G52)))),"")</f>
        <v>0</v>
      </c>
      <c r="L51" s="64">
        <f>I51/'Erkrankungs- und Strukturdaten'!$C$7</f>
        <v>4927.272727272727</v>
      </c>
      <c r="M51" s="65">
        <f t="shared" si="4"/>
        <v>0.13626834381551362</v>
      </c>
      <c r="N51" s="163">
        <v>48</v>
      </c>
      <c r="O51" s="208">
        <f t="shared" si="1"/>
        <v>1</v>
      </c>
    </row>
    <row r="52" spans="1:15" x14ac:dyDescent="0.2">
      <c r="A52" s="211">
        <f>WEEKDAY(A51+1,1)</f>
        <v>5</v>
      </c>
      <c r="B52" s="84">
        <f t="shared" si="9"/>
        <v>1.1359456060367867</v>
      </c>
      <c r="D52" s="63">
        <v>43906</v>
      </c>
      <c r="E52" s="64">
        <f t="shared" si="0"/>
        <v>1060</v>
      </c>
      <c r="F52" s="101">
        <v>1060</v>
      </c>
      <c r="G52" s="140"/>
      <c r="H52" s="64">
        <f>E52/'Erkrankungs- und Strukturdaten'!$C$7</f>
        <v>1927.272727272727</v>
      </c>
      <c r="I52" s="64">
        <f t="shared" si="3"/>
        <v>3770</v>
      </c>
      <c r="J52" s="64">
        <f t="shared" si="2"/>
        <v>0</v>
      </c>
      <c r="K52" s="101">
        <f>IFERROR(IF(D52=_Datum,Prognoseparameter!$C$14,
IF(_WachstumsrateKURZ="Bundesweit",IF(D52&gt;_Datum,
         K51+AVERAGE(F48:F51)*(1+_WR)*(1-(K51-VLOOKUP('Erkrankungs- und Strukturdaten'!$C$45,$D:$M,$K$1,FALSE))/$B$16),
         K53-$B$23*F53),
IF(D52&gt;_Datum,K51+G52,IF(G53="",K53/(K53^(1/N52)),K53-G53)))),"")</f>
        <v>0</v>
      </c>
      <c r="L52" s="64">
        <f>I52/'Erkrankungs- und Strukturdaten'!$C$7</f>
        <v>6854.545454545454</v>
      </c>
      <c r="M52" s="65">
        <f t="shared" si="4"/>
        <v>0.39114391143911437</v>
      </c>
      <c r="N52" s="163">
        <v>49</v>
      </c>
      <c r="O52" s="208">
        <f t="shared" si="1"/>
        <v>1</v>
      </c>
    </row>
    <row r="53" spans="1:15" x14ac:dyDescent="0.2">
      <c r="A53" s="211">
        <f t="shared" ref="A53:A57" si="10">WEEKDAY(A52+1,1)</f>
        <v>6</v>
      </c>
      <c r="B53" s="84">
        <f t="shared" si="9"/>
        <v>0.98380757742493319</v>
      </c>
      <c r="D53" s="63">
        <v>43907</v>
      </c>
      <c r="E53" s="64">
        <f t="shared" si="0"/>
        <v>1082</v>
      </c>
      <c r="F53" s="101">
        <v>1082</v>
      </c>
      <c r="G53" s="140"/>
      <c r="H53" s="64">
        <f>E53/'Erkrankungs- und Strukturdaten'!$C$7</f>
        <v>1967.272727272727</v>
      </c>
      <c r="I53" s="64">
        <f t="shared" si="3"/>
        <v>4852</v>
      </c>
      <c r="J53" s="64">
        <f t="shared" si="2"/>
        <v>0</v>
      </c>
      <c r="K53" s="101">
        <f>IFERROR(IF(D53=_Datum,Prognoseparameter!$C$14,
IF(_WachstumsrateKURZ="Bundesweit",IF(D53&gt;_Datum,
         K52+AVERAGE(F49:F52)*(1+_WR)*(1-(K52-VLOOKUP('Erkrankungs- und Strukturdaten'!$C$45,$D:$M,$K$1,FALSE))/$B$16),
         K54-$B$23*F54),
IF(D53&gt;_Datum,K52+G53,IF(G54="",K54/(K54^(1/N53)),K54-G54)))),"")</f>
        <v>0</v>
      </c>
      <c r="L53" s="64">
        <f>I53/'Erkrankungs- und Strukturdaten'!$C$7</f>
        <v>8821.818181818182</v>
      </c>
      <c r="M53" s="65">
        <f t="shared" si="4"/>
        <v>0.28700265251989387</v>
      </c>
      <c r="N53" s="163">
        <v>50</v>
      </c>
      <c r="O53" s="208">
        <f t="shared" si="1"/>
        <v>1</v>
      </c>
    </row>
    <row r="54" spans="1:15" x14ac:dyDescent="0.2">
      <c r="A54" s="211">
        <f t="shared" si="10"/>
        <v>7</v>
      </c>
      <c r="B54" s="84">
        <f t="shared" si="9"/>
        <v>0.73084027668605567</v>
      </c>
      <c r="D54" s="63">
        <v>43908</v>
      </c>
      <c r="E54" s="64">
        <f t="shared" si="0"/>
        <v>1205</v>
      </c>
      <c r="F54" s="101">
        <v>1205</v>
      </c>
      <c r="G54" s="140"/>
      <c r="H54" s="64">
        <f>E54/'Erkrankungs- und Strukturdaten'!$C$7</f>
        <v>2190.9090909090905</v>
      </c>
      <c r="I54" s="64">
        <f t="shared" si="3"/>
        <v>6057</v>
      </c>
      <c r="J54" s="64">
        <f t="shared" si="2"/>
        <v>0</v>
      </c>
      <c r="K54" s="101">
        <f>IFERROR(IF(D54=_Datum,Prognoseparameter!$C$14,
IF(_WachstumsrateKURZ="Bundesweit",IF(D54&gt;_Datum,
         K53+AVERAGE(F50:F53)*(1+_WR)*(1-(K53-VLOOKUP('Erkrankungs- und Strukturdaten'!$C$45,$D:$M,$K$1,FALSE))/$B$16),
         K55-$B$23*F55),
IF(D54&gt;_Datum,K53+G54,IF(G55="",K55/(K55^(1/N54)),K55-G55)))),"")</f>
        <v>0</v>
      </c>
      <c r="L54" s="64">
        <f>I54/'Erkrankungs- und Strukturdaten'!$C$7</f>
        <v>11012.727272727272</v>
      </c>
      <c r="M54" s="65">
        <f t="shared" si="4"/>
        <v>0.24835119538334707</v>
      </c>
      <c r="N54" s="163">
        <v>51</v>
      </c>
      <c r="O54" s="208">
        <f t="shared" si="1"/>
        <v>1</v>
      </c>
    </row>
    <row r="55" spans="1:15" x14ac:dyDescent="0.2">
      <c r="A55" s="211">
        <f t="shared" si="10"/>
        <v>1</v>
      </c>
      <c r="B55" s="84">
        <f t="shared" si="9"/>
        <v>0.54720169784625061</v>
      </c>
      <c r="D55" s="66">
        <v>43909</v>
      </c>
      <c r="E55" s="64">
        <f t="shared" si="0"/>
        <v>835</v>
      </c>
      <c r="F55" s="101">
        <v>835</v>
      </c>
      <c r="G55" s="140"/>
      <c r="H55" s="64">
        <f>E55/'Erkrankungs- und Strukturdaten'!$C$7</f>
        <v>1518.181818181818</v>
      </c>
      <c r="I55" s="64">
        <f t="shared" si="3"/>
        <v>6892</v>
      </c>
      <c r="J55" s="64">
        <f t="shared" si="2"/>
        <v>0</v>
      </c>
      <c r="K55" s="101">
        <f>IFERROR(IF(D55=_Datum,Prognoseparameter!$C$14,
IF(_WachstumsrateKURZ="Bundesweit",IF(D55&gt;_Datum,
         K54+AVERAGE(F51:F54)*(1+_WR)*(1-(K54-VLOOKUP('Erkrankungs- und Strukturdaten'!$C$45,$D:$M,$K$1,FALSE))/$B$16),
         K56-$B$23*F56),
IF(D55&gt;_Datum,K54+G55,IF(G56="",K56/(K56^(1/N55)),K56-G56)))),"")</f>
        <v>0</v>
      </c>
      <c r="L55" s="64">
        <f>I55/'Erkrankungs- und Strukturdaten'!$C$7</f>
        <v>12530.90909090909</v>
      </c>
      <c r="M55" s="65">
        <f t="shared" si="4"/>
        <v>0.13785702492983326</v>
      </c>
      <c r="N55" s="163">
        <v>52</v>
      </c>
      <c r="O55" s="208">
        <f t="shared" si="1"/>
        <v>1</v>
      </c>
    </row>
    <row r="56" spans="1:15" x14ac:dyDescent="0.2">
      <c r="A56" s="211">
        <f t="shared" si="10"/>
        <v>2</v>
      </c>
      <c r="B56" s="84">
        <f t="shared" si="9"/>
        <v>1.2125648482942935</v>
      </c>
      <c r="D56" s="66">
        <v>43910</v>
      </c>
      <c r="E56" s="64">
        <f t="shared" si="0"/>
        <v>1139</v>
      </c>
      <c r="F56" s="101">
        <v>1139</v>
      </c>
      <c r="G56" s="140"/>
      <c r="H56" s="64">
        <f>E56/'Erkrankungs- und Strukturdaten'!$C$7</f>
        <v>2070.9090909090905</v>
      </c>
      <c r="I56" s="64">
        <f t="shared" si="3"/>
        <v>8031</v>
      </c>
      <c r="J56" s="64">
        <f t="shared" si="2"/>
        <v>0</v>
      </c>
      <c r="K56" s="101">
        <f>IFERROR(IF(D56=_Datum,Prognoseparameter!$C$14,
IF(_WachstumsrateKURZ="Bundesweit",IF(D56&gt;_Datum,
         K55+AVERAGE(F52:F55)*(1+_WR)*(1-(K55-VLOOKUP('Erkrankungs- und Strukturdaten'!$C$45,$D:$M,$K$1,FALSE))/$B$16),
         K57-$B$23*F57),
IF(D56&gt;_Datum,K55+G56,IF(G57="",K57/(K57^(1/N56)),K57-G57)))),"")</f>
        <v>0</v>
      </c>
      <c r="L56" s="64">
        <f>I56/'Erkrankungs- und Strukturdaten'!$C$7</f>
        <v>14601.81818181818</v>
      </c>
      <c r="M56" s="65">
        <f t="shared" si="4"/>
        <v>0.16526407428903075</v>
      </c>
      <c r="N56" s="163">
        <v>53</v>
      </c>
      <c r="O56" s="208">
        <f t="shared" si="1"/>
        <v>1</v>
      </c>
    </row>
    <row r="57" spans="1:15" x14ac:dyDescent="0.2">
      <c r="A57" s="211">
        <f t="shared" si="10"/>
        <v>3</v>
      </c>
      <c r="B57" s="84">
        <f t="shared" si="9"/>
        <v>1.2516310328564693</v>
      </c>
      <c r="D57" s="66">
        <v>43911</v>
      </c>
      <c r="E57" s="64">
        <f t="shared" si="0"/>
        <v>691</v>
      </c>
      <c r="F57" s="101">
        <v>691</v>
      </c>
      <c r="G57" s="140"/>
      <c r="H57" s="64">
        <f>E57/'Erkrankungs- und Strukturdaten'!$C$7</f>
        <v>1256.3636363636363</v>
      </c>
      <c r="I57" s="64">
        <f t="shared" si="3"/>
        <v>8722</v>
      </c>
      <c r="J57" s="64">
        <f t="shared" si="2"/>
        <v>0</v>
      </c>
      <c r="K57" s="101">
        <f>IFERROR(IF(D57=_Datum,Prognoseparameter!$C$14,
IF(_WachstumsrateKURZ="Bundesweit",IF(D57&gt;_Datum,
         K56+AVERAGE(F53:F56)*(1+_WR)*(1-(K56-VLOOKUP('Erkrankungs- und Strukturdaten'!$C$45,$D:$M,$K$1,FALSE))/$B$16),
         K58-$B$23*F58),
IF(D57&gt;_Datum,K56+G57,IF(G58="",K58/(K58^(1/N57)),K58-G58)))),"")</f>
        <v>0</v>
      </c>
      <c r="L57" s="64">
        <f>I57/'Erkrankungs- und Strukturdaten'!$C$7</f>
        <v>15858.181818181816</v>
      </c>
      <c r="M57" s="65">
        <f t="shared" si="4"/>
        <v>8.6041588843232472E-2</v>
      </c>
      <c r="N57" s="163">
        <v>54</v>
      </c>
      <c r="O57" s="208">
        <f t="shared" si="1"/>
        <v>1</v>
      </c>
    </row>
    <row r="58" spans="1:15" x14ac:dyDescent="0.2">
      <c r="D58" s="86">
        <v>43912</v>
      </c>
      <c r="E58" s="64">
        <f t="shared" si="0"/>
        <v>546</v>
      </c>
      <c r="F58" s="101">
        <v>546</v>
      </c>
      <c r="G58" s="140"/>
      <c r="H58" s="64">
        <f>E58/'Erkrankungs- und Strukturdaten'!$C$7</f>
        <v>992.72727272727263</v>
      </c>
      <c r="I58" s="64">
        <f t="shared" si="3"/>
        <v>9268</v>
      </c>
      <c r="J58" s="64">
        <f t="shared" si="2"/>
        <v>0</v>
      </c>
      <c r="K58" s="101">
        <f>IFERROR(IF(D58=_Datum,Prognoseparameter!$C$14,
IF(_WachstumsrateKURZ="Bundesweit",IF(D58&gt;_Datum,
         K57+AVERAGE(F54:F57)*(1+_WR)*(1-(K57-VLOOKUP('Erkrankungs- und Strukturdaten'!$C$45,$D:$M,$K$1,FALSE))/$B$16),
         K59-$B$23*F59),
IF(D58&gt;_Datum,K57+G58,IF(G59="",K59/(K59^(1/N58)),K59-G59)))),"")</f>
        <v>0</v>
      </c>
      <c r="L58" s="64">
        <f>I58/'Erkrankungs- und Strukturdaten'!$C$7</f>
        <v>16850.909090909088</v>
      </c>
      <c r="M58" s="65">
        <f t="shared" si="4"/>
        <v>6.2600321027287326E-2</v>
      </c>
      <c r="N58" s="163">
        <v>55</v>
      </c>
      <c r="O58" s="208">
        <f t="shared" si="1"/>
        <v>1</v>
      </c>
    </row>
    <row r="59" spans="1:15" x14ac:dyDescent="0.2">
      <c r="D59" s="86">
        <v>43913</v>
      </c>
      <c r="E59" s="64">
        <f t="shared" si="0"/>
        <v>1461</v>
      </c>
      <c r="F59" s="101">
        <v>1461</v>
      </c>
      <c r="G59" s="140"/>
      <c r="H59" s="64">
        <f>E59/'Erkrankungs- und Strukturdaten'!$C$7</f>
        <v>2656.363636363636</v>
      </c>
      <c r="I59" s="64">
        <f t="shared" si="3"/>
        <v>10729</v>
      </c>
      <c r="J59" s="64">
        <f t="shared" si="2"/>
        <v>0</v>
      </c>
      <c r="K59" s="101">
        <f>IFERROR(IF(D59=_Datum,Prognoseparameter!$C$14,
IF(_WachstumsrateKURZ="Bundesweit",IF(D59&gt;_Datum,
         K58+AVERAGE(F55:F58)*(1+_WR)*(1-(K58-VLOOKUP('Erkrankungs- und Strukturdaten'!$C$45,$D:$M,$K$1,FALSE))/$B$16),
         K60-$B$23*F60),
IF(D59&gt;_Datum,K58+G59,IF(G60="",K60/(K60^(1/N59)),K60-G60)))),"")</f>
        <v>0</v>
      </c>
      <c r="L59" s="64">
        <f>I59/'Erkrankungs- und Strukturdaten'!$C$7</f>
        <v>19507.272727272724</v>
      </c>
      <c r="M59" s="65">
        <f t="shared" si="4"/>
        <v>0.15763918860595597</v>
      </c>
      <c r="N59" s="163">
        <v>56</v>
      </c>
      <c r="O59" s="208">
        <f t="shared" si="1"/>
        <v>1</v>
      </c>
    </row>
    <row r="60" spans="1:15" x14ac:dyDescent="0.2">
      <c r="D60" s="86">
        <v>43914</v>
      </c>
      <c r="E60" s="64">
        <f t="shared" si="0"/>
        <v>1241</v>
      </c>
      <c r="F60" s="101">
        <v>1241</v>
      </c>
      <c r="G60" s="140"/>
      <c r="H60" s="64">
        <f>E60/'Erkrankungs- und Strukturdaten'!$C$7</f>
        <v>2256.363636363636</v>
      </c>
      <c r="I60" s="64">
        <f t="shared" si="3"/>
        <v>11970</v>
      </c>
      <c r="J60" s="64">
        <f t="shared" si="2"/>
        <v>0</v>
      </c>
      <c r="K60" s="101">
        <f>IFERROR(IF(D60=_Datum,Prognoseparameter!$C$14,
IF(_WachstumsrateKURZ="Bundesweit",IF(D60&gt;_Datum,
         K59+AVERAGE(F56:F59)*(1+_WR)*(1-(K59-VLOOKUP('Erkrankungs- und Strukturdaten'!$C$45,$D:$M,$K$1,FALSE))/$B$16),
         K61-$B$23*F61),
IF(D60&gt;_Datum,K59+G60,IF(G61="",K61/(K61^(1/N60)),K61-G61)))),"")</f>
        <v>0</v>
      </c>
      <c r="L60" s="64">
        <f>I60/'Erkrankungs- und Strukturdaten'!$C$7</f>
        <v>21763.63636363636</v>
      </c>
      <c r="M60" s="65">
        <f t="shared" si="4"/>
        <v>0.11566781619908659</v>
      </c>
      <c r="N60" s="163">
        <v>57</v>
      </c>
      <c r="O60" s="208">
        <f t="shared" si="1"/>
        <v>1</v>
      </c>
    </row>
    <row r="61" spans="1:15" x14ac:dyDescent="0.2">
      <c r="D61" s="86">
        <v>43915</v>
      </c>
      <c r="E61" s="64">
        <f t="shared" si="0"/>
        <v>1069</v>
      </c>
      <c r="F61" s="101">
        <v>1069</v>
      </c>
      <c r="G61" s="140"/>
      <c r="H61" s="64">
        <f>E61/'Erkrankungs- und Strukturdaten'!$C$7</f>
        <v>1943.6363636363635</v>
      </c>
      <c r="I61" s="64">
        <f t="shared" si="3"/>
        <v>13039</v>
      </c>
      <c r="J61" s="64">
        <f t="shared" si="2"/>
        <v>0</v>
      </c>
      <c r="K61" s="101">
        <f>IFERROR(IF(D61=_Datum,Prognoseparameter!$C$14,
IF(_WachstumsrateKURZ="Bundesweit",IF(D61&gt;_Datum,
         K60+AVERAGE(F57:F60)*(1+_WR)*(1-(K60-VLOOKUP('Erkrankungs- und Strukturdaten'!$C$45,$D:$M,$K$1,FALSE))/$B$16),
         K62-$B$23*F62),
IF(D61&gt;_Datum,K60+G61,IF(G62="",K62/(K62^(1/N61)),K62-G62)))),"")</f>
        <v>0</v>
      </c>
      <c r="L61" s="64">
        <f>I61/'Erkrankungs- und Strukturdaten'!$C$7</f>
        <v>23707.272727272724</v>
      </c>
      <c r="M61" s="65">
        <f t="shared" si="4"/>
        <v>8.9306599832915626E-2</v>
      </c>
      <c r="N61" s="163">
        <v>58</v>
      </c>
      <c r="O61" s="208">
        <f t="shared" si="1"/>
        <v>1</v>
      </c>
    </row>
    <row r="62" spans="1:15" x14ac:dyDescent="0.2">
      <c r="D62" s="86">
        <v>43916</v>
      </c>
      <c r="E62" s="64">
        <f t="shared" si="0"/>
        <v>1114</v>
      </c>
      <c r="F62" s="101">
        <v>1114</v>
      </c>
      <c r="G62" s="140"/>
      <c r="H62" s="64">
        <f>E62/'Erkrankungs- und Strukturdaten'!$C$7</f>
        <v>2025.4545454545453</v>
      </c>
      <c r="I62" s="64">
        <f t="shared" si="3"/>
        <v>14153</v>
      </c>
      <c r="J62" s="64">
        <f t="shared" si="2"/>
        <v>0</v>
      </c>
      <c r="K62" s="101">
        <f>IFERROR(IF(D62=_Datum,Prognoseparameter!$C$14,
IF(_WachstumsrateKURZ="Bundesweit",IF(D62&gt;_Datum,
         K61+AVERAGE(F58:F61)*(1+_WR)*(1-(K61-VLOOKUP('Erkrankungs- und Strukturdaten'!$C$45,$D:$M,$K$1,FALSE))/$B$16),
         K63-$B$23*F63),
IF(D62&gt;_Datum,K61+G62,IF(G63="",K63/(K63^(1/N62)),K63-G63)))),"")</f>
        <v>0</v>
      </c>
      <c r="L62" s="64">
        <f>I62/'Erkrankungs- und Strukturdaten'!$C$7</f>
        <v>25732.727272727272</v>
      </c>
      <c r="M62" s="65">
        <f t="shared" si="4"/>
        <v>8.5435999693228001E-2</v>
      </c>
      <c r="N62" s="163">
        <v>59</v>
      </c>
      <c r="O62" s="208">
        <f t="shared" si="1"/>
        <v>1</v>
      </c>
    </row>
    <row r="63" spans="1:15" x14ac:dyDescent="0.2">
      <c r="D63" s="86">
        <v>43917</v>
      </c>
      <c r="E63" s="64">
        <f t="shared" si="0"/>
        <v>1307</v>
      </c>
      <c r="F63" s="101">
        <v>1307</v>
      </c>
      <c r="G63" s="140"/>
      <c r="H63" s="64">
        <f>E63/'Erkrankungs- und Strukturdaten'!$C$7</f>
        <v>2376.363636363636</v>
      </c>
      <c r="I63" s="64">
        <f t="shared" si="3"/>
        <v>15460</v>
      </c>
      <c r="J63" s="64">
        <f t="shared" si="2"/>
        <v>0</v>
      </c>
      <c r="K63" s="101">
        <f>IFERROR(IF(D63=_Datum,Prognoseparameter!$C$14,
IF(_WachstumsrateKURZ="Bundesweit",IF(D63&gt;_Datum,
         K62+AVERAGE(F59:F62)*(1+_WR)*(1-(K62-VLOOKUP('Erkrankungs- und Strukturdaten'!$C$45,$D:$M,$K$1,FALSE))/$B$16),
         K64-$B$23*F64),
IF(D63&gt;_Datum,K62+G63,IF(G64="",K64/(K64^(1/N63)),K64-G64)))),"")</f>
        <v>0</v>
      </c>
      <c r="L63" s="64">
        <f>I63/'Erkrankungs- und Strukturdaten'!$C$7</f>
        <v>28109.090909090908</v>
      </c>
      <c r="M63" s="65">
        <f t="shared" si="4"/>
        <v>9.2347912103440968E-2</v>
      </c>
      <c r="N63" s="163">
        <v>60</v>
      </c>
      <c r="O63" s="208">
        <f t="shared" si="1"/>
        <v>1</v>
      </c>
    </row>
    <row r="64" spans="1:15" ht="12.95" customHeight="1" x14ac:dyDescent="0.2">
      <c r="A64" s="179"/>
      <c r="B64" s="179"/>
      <c r="D64" s="86">
        <v>43918</v>
      </c>
      <c r="E64" s="64">
        <f t="shared" si="0"/>
        <v>722</v>
      </c>
      <c r="F64" s="101">
        <v>722</v>
      </c>
      <c r="G64" s="140"/>
      <c r="H64" s="64">
        <f>E64/'Erkrankungs- und Strukturdaten'!$C$7</f>
        <v>1312.7272727272725</v>
      </c>
      <c r="I64" s="64">
        <f t="shared" si="3"/>
        <v>16182</v>
      </c>
      <c r="J64" s="64">
        <f t="shared" si="2"/>
        <v>0</v>
      </c>
      <c r="K64" s="101">
        <f>IFERROR(IF(D64=_Datum,Prognoseparameter!$C$14,
IF(_WachstumsrateKURZ="Bundesweit",IF(D64&gt;_Datum,
         K63+AVERAGE(F60:F63)*(1+_WR)*(1-(K63-VLOOKUP('Erkrankungs- und Strukturdaten'!$C$45,$D:$M,$K$1,FALSE))/$B$16),
         K65-$B$23*F65),
IF(D64&gt;_Datum,K63+G64,IF(G65="",K65/(K65^(1/N64)),K65-G65)))),"")</f>
        <v>0</v>
      </c>
      <c r="L64" s="64">
        <f>I64/'Erkrankungs- und Strukturdaten'!$C$7</f>
        <v>29421.81818181818</v>
      </c>
      <c r="M64" s="65">
        <f t="shared" si="4"/>
        <v>4.6701164294954724E-2</v>
      </c>
      <c r="N64" s="163">
        <v>61</v>
      </c>
      <c r="O64" s="208">
        <f t="shared" si="1"/>
        <v>1</v>
      </c>
    </row>
    <row r="65" spans="1:15" ht="12.95" customHeight="1" x14ac:dyDescent="0.2">
      <c r="A65" s="179"/>
      <c r="B65" s="179"/>
      <c r="D65" s="86">
        <v>43919</v>
      </c>
      <c r="E65" s="64">
        <f t="shared" si="0"/>
        <v>433</v>
      </c>
      <c r="F65" s="101">
        <v>433</v>
      </c>
      <c r="G65" s="140"/>
      <c r="H65" s="64">
        <f>E65/'Erkrankungs- und Strukturdaten'!$C$7</f>
        <v>787.27272727272725</v>
      </c>
      <c r="I65" s="64">
        <f t="shared" si="3"/>
        <v>16615</v>
      </c>
      <c r="J65" s="64">
        <f t="shared" si="2"/>
        <v>0</v>
      </c>
      <c r="K65" s="101">
        <f>IFERROR(IF(D65=_Datum,Prognoseparameter!$C$14,
IF(_WachstumsrateKURZ="Bundesweit",IF(D65&gt;_Datum,
         K64+AVERAGE(F61:F64)*(1+_WR)*(1-(K64-VLOOKUP('Erkrankungs- und Strukturdaten'!$C$45,$D:$M,$K$1,FALSE))/$B$16),
         K66-$B$23*F66),
IF(D65&gt;_Datum,K64+G65,IF(G66="",K66/(K66^(1/N65)),K66-G66)))),"")</f>
        <v>0</v>
      </c>
      <c r="L65" s="64">
        <f>I65/'Erkrankungs- und Strukturdaten'!$C$7</f>
        <v>30209.090909090908</v>
      </c>
      <c r="M65" s="65">
        <f t="shared" si="4"/>
        <v>2.6758126313187493E-2</v>
      </c>
      <c r="N65" s="163">
        <v>62</v>
      </c>
      <c r="O65" s="208">
        <f t="shared" si="1"/>
        <v>1</v>
      </c>
    </row>
    <row r="66" spans="1:15" ht="12.95" customHeight="1" x14ac:dyDescent="0.2">
      <c r="A66" s="179"/>
      <c r="B66" s="179"/>
      <c r="D66" s="86">
        <v>43920</v>
      </c>
      <c r="E66" s="64">
        <f t="shared" si="0"/>
        <v>1307</v>
      </c>
      <c r="F66" s="101">
        <v>1307</v>
      </c>
      <c r="G66" s="140"/>
      <c r="H66" s="64">
        <f>E66/'Erkrankungs- und Strukturdaten'!$C$7</f>
        <v>2376.363636363636</v>
      </c>
      <c r="I66" s="64">
        <f t="shared" si="3"/>
        <v>17922</v>
      </c>
      <c r="J66" s="64">
        <f t="shared" si="2"/>
        <v>0</v>
      </c>
      <c r="K66" s="101">
        <f>IFERROR(IF(D66=_Datum,Prognoseparameter!$C$14,
IF(_WachstumsrateKURZ="Bundesweit",IF(D66&gt;_Datum,
         K65+AVERAGE(F62:F65)*(1+_WR)*(1-(K65-VLOOKUP('Erkrankungs- und Strukturdaten'!$C$45,$D:$M,$K$1,FALSE))/$B$16),
         K67-$B$23*F67),
IF(D66&gt;_Datum,K65+G66,IF(G67="",K67/(K67^(1/N66)),K67-G67)))),"")</f>
        <v>0</v>
      </c>
      <c r="L66" s="64">
        <f>I66/'Erkrankungs- und Strukturdaten'!$C$7</f>
        <v>32585.454545454544</v>
      </c>
      <c r="M66" s="65">
        <f t="shared" si="4"/>
        <v>7.8663857959674996E-2</v>
      </c>
      <c r="N66" s="163">
        <v>63</v>
      </c>
      <c r="O66" s="208">
        <f t="shared" si="1"/>
        <v>1</v>
      </c>
    </row>
    <row r="67" spans="1:15" ht="12.95" customHeight="1" x14ac:dyDescent="0.2">
      <c r="A67" s="179"/>
      <c r="B67" s="179"/>
      <c r="D67" s="86">
        <v>43921</v>
      </c>
      <c r="E67" s="64">
        <f t="shared" si="0"/>
        <v>1135</v>
      </c>
      <c r="F67" s="101">
        <v>1135</v>
      </c>
      <c r="G67" s="140"/>
      <c r="H67" s="64">
        <f>E67/'Erkrankungs- und Strukturdaten'!$C$7</f>
        <v>2063.6363636363635</v>
      </c>
      <c r="I67" s="64">
        <f t="shared" si="3"/>
        <v>19057</v>
      </c>
      <c r="J67" s="64">
        <f t="shared" si="2"/>
        <v>0</v>
      </c>
      <c r="K67" s="101">
        <f>IFERROR(IF(D67=_Datum,Prognoseparameter!$C$14,
IF(_WachstumsrateKURZ="Bundesweit",IF(D67&gt;_Datum,
         K66+AVERAGE(F63:F66)*(1+_WR)*(1-(K66-VLOOKUP('Erkrankungs- und Strukturdaten'!$C$45,$D:$M,$K$1,FALSE))/$B$16),
         K68-$B$23*F68),
IF(D67&gt;_Datum,K66+G67,IF(G68="",K68/(K68^(1/N67)),K68-G68)))),"")</f>
        <v>0</v>
      </c>
      <c r="L67" s="64">
        <f>I67/'Erkrankungs- und Strukturdaten'!$C$7</f>
        <v>34649.090909090904</v>
      </c>
      <c r="M67" s="65">
        <f t="shared" si="4"/>
        <v>6.3329985492690546E-2</v>
      </c>
      <c r="N67" s="163">
        <v>64</v>
      </c>
      <c r="O67" s="208">
        <f t="shared" si="1"/>
        <v>1</v>
      </c>
    </row>
    <row r="68" spans="1:15" x14ac:dyDescent="0.2">
      <c r="A68" s="179"/>
      <c r="B68" s="179"/>
      <c r="D68" s="86">
        <v>43922</v>
      </c>
      <c r="E68" s="64">
        <f t="shared" ref="E68:E131" si="11">IF(_AusgangswertKURZ="Bevölkerungsanteil",
$B$26*IF(F68=ROUNDDOWN(F68,0),F68,F68*VLOOKUP(WEEKDAY($D68,1),$A$51:$B$57,$B$1,FALSE)),
$B$17*IF(G68=ROUNDDOWN(G68,0),G68,G68*VLOOKUP(WEEKDAY($D68,1),$A$51:$B$57,$B$1,FALSE)))</f>
        <v>1013</v>
      </c>
      <c r="F68" s="101">
        <v>1013</v>
      </c>
      <c r="G68" s="140"/>
      <c r="H68" s="64">
        <f>E68/'Erkrankungs- und Strukturdaten'!$C$7</f>
        <v>1841.8181818181818</v>
      </c>
      <c r="I68" s="64">
        <f t="shared" si="3"/>
        <v>20070</v>
      </c>
      <c r="J68" s="64">
        <f t="shared" si="2"/>
        <v>0</v>
      </c>
      <c r="K68" s="101">
        <f>IFERROR(IF(D68=_Datum,Prognoseparameter!$C$14,
IF(_WachstumsrateKURZ="Bundesweit",IF(D68&gt;_Datum,
         K67+AVERAGE(F64:F67)*(1+_WR)*(1-(K67-VLOOKUP('Erkrankungs- und Strukturdaten'!$C$45,$D:$M,$K$1,FALSE))/$B$16),
         K69-$B$23*F69),
IF(D68&gt;_Datum,K67+G68,IF(G69="",K69/(K69^(1/N68)),K69-G69)))),"")</f>
        <v>0</v>
      </c>
      <c r="L68" s="64">
        <f>I68/'Erkrankungs- und Strukturdaten'!$C$7</f>
        <v>36490.909090909088</v>
      </c>
      <c r="M68" s="65">
        <f t="shared" si="4"/>
        <v>5.3156320512147769E-2</v>
      </c>
      <c r="N68" s="163">
        <v>65</v>
      </c>
      <c r="O68" s="208">
        <f t="shared" ref="O68:O131" si="12">IF(F68=ROUNDDOWN(F68,0),1,0)</f>
        <v>1</v>
      </c>
    </row>
    <row r="69" spans="1:15" x14ac:dyDescent="0.2">
      <c r="A69" s="179"/>
      <c r="B69" s="179"/>
      <c r="D69" s="86">
        <v>43923</v>
      </c>
      <c r="E69" s="64">
        <f t="shared" si="11"/>
        <v>877</v>
      </c>
      <c r="F69" s="101">
        <v>877</v>
      </c>
      <c r="G69" s="140"/>
      <c r="H69" s="64">
        <f>E69/'Erkrankungs- und Strukturdaten'!$C$7</f>
        <v>1594.5454545454545</v>
      </c>
      <c r="I69" s="64">
        <f t="shared" si="3"/>
        <v>20947</v>
      </c>
      <c r="J69" s="64">
        <f t="shared" ref="J69:J132" si="13">J68+G69</f>
        <v>0</v>
      </c>
      <c r="K69" s="101">
        <f>IFERROR(IF(D69=_Datum,Prognoseparameter!$C$14,
IF(_WachstumsrateKURZ="Bundesweit",IF(D69&gt;_Datum,
         K68+AVERAGE(F65:F68)*(1+_WR)*(1-(K68-VLOOKUP('Erkrankungs- und Strukturdaten'!$C$45,$D:$M,$K$1,FALSE))/$B$16),
         K70-$B$23*F70),
IF(D69&gt;_Datum,K68+G69,IF(G70="",K70/(K70^(1/N69)),K70-G70)))),"")</f>
        <v>0</v>
      </c>
      <c r="L69" s="64">
        <f>I69/'Erkrankungs- und Strukturdaten'!$C$7</f>
        <v>38085.454545454544</v>
      </c>
      <c r="M69" s="65">
        <f t="shared" si="4"/>
        <v>4.3697060288988537E-2</v>
      </c>
      <c r="N69" s="163">
        <v>66</v>
      </c>
      <c r="O69" s="208">
        <f t="shared" si="12"/>
        <v>1</v>
      </c>
    </row>
    <row r="70" spans="1:15" ht="12.95" customHeight="1" x14ac:dyDescent="0.2">
      <c r="A70" s="179"/>
      <c r="B70" s="179"/>
      <c r="D70" s="86">
        <v>43924</v>
      </c>
      <c r="E70" s="64">
        <f t="shared" si="11"/>
        <v>927</v>
      </c>
      <c r="F70" s="101">
        <v>927</v>
      </c>
      <c r="G70" s="140"/>
      <c r="H70" s="64">
        <f>E70/'Erkrankungs- und Strukturdaten'!$C$7</f>
        <v>1685.4545454545453</v>
      </c>
      <c r="I70" s="64">
        <f t="shared" ref="I70:I133" si="14">I69+F70</f>
        <v>21874</v>
      </c>
      <c r="J70" s="64">
        <f t="shared" si="13"/>
        <v>0</v>
      </c>
      <c r="K70" s="101">
        <f>IFERROR(IF(D70=_Datum,Prognoseparameter!$C$14,
IF(_WachstumsrateKURZ="Bundesweit",IF(D70&gt;_Datum,
         K69+AVERAGE(F66:F69)*(1+_WR)*(1-(K69-VLOOKUP('Erkrankungs- und Strukturdaten'!$C$45,$D:$M,$K$1,FALSE))/$B$16),
         K71-$B$23*F71),
IF(D70&gt;_Datum,K69+G70,IF(G71="",K71/(K71^(1/N70)),K71-G71)))),"")</f>
        <v>0</v>
      </c>
      <c r="L70" s="64">
        <f>I70/'Erkrankungs- und Strukturdaten'!$C$7</f>
        <v>39770.909090909088</v>
      </c>
      <c r="M70" s="65">
        <f t="shared" ref="M70:M133" si="15">IFERROR((I70-I69)/I69,0)</f>
        <v>4.4254547190528473E-2</v>
      </c>
      <c r="N70" s="163">
        <v>67</v>
      </c>
      <c r="O70" s="208">
        <f t="shared" si="12"/>
        <v>1</v>
      </c>
    </row>
    <row r="71" spans="1:15" ht="12.95" customHeight="1" x14ac:dyDescent="0.2">
      <c r="A71" s="179"/>
      <c r="B71" s="179"/>
      <c r="D71" s="86">
        <v>43925</v>
      </c>
      <c r="E71" s="64">
        <f t="shared" si="11"/>
        <v>486</v>
      </c>
      <c r="F71" s="101">
        <v>486</v>
      </c>
      <c r="G71" s="140"/>
      <c r="H71" s="64">
        <f>E71/'Erkrankungs- und Strukturdaten'!$C$7</f>
        <v>883.63636363636351</v>
      </c>
      <c r="I71" s="64">
        <f t="shared" si="14"/>
        <v>22360</v>
      </c>
      <c r="J71" s="64">
        <f t="shared" si="13"/>
        <v>0</v>
      </c>
      <c r="K71" s="101">
        <f>IFERROR(IF(D71=_Datum,Prognoseparameter!$C$14,
IF(_WachstumsrateKURZ="Bundesweit",IF(D71&gt;_Datum,
         K70+AVERAGE(F67:F70)*(1+_WR)*(1-(K70-VLOOKUP('Erkrankungs- und Strukturdaten'!$C$45,$D:$M,$K$1,FALSE))/$B$16),
         K72-$B$23*F72),
IF(D71&gt;_Datum,K70+G71,IF(G72="",K72/(K72^(1/N71)),K72-G72)))),"")</f>
        <v>0</v>
      </c>
      <c r="L71" s="64">
        <f>I71/'Erkrankungs- und Strukturdaten'!$C$7</f>
        <v>40654.545454545449</v>
      </c>
      <c r="M71" s="65">
        <f t="shared" si="15"/>
        <v>2.22181585443906E-2</v>
      </c>
      <c r="N71" s="163">
        <v>68</v>
      </c>
      <c r="O71" s="208">
        <f t="shared" si="12"/>
        <v>1</v>
      </c>
    </row>
    <row r="72" spans="1:15" x14ac:dyDescent="0.2">
      <c r="A72" s="179"/>
      <c r="B72" s="179"/>
      <c r="D72" s="86">
        <v>43926</v>
      </c>
      <c r="E72" s="64">
        <f t="shared" si="11"/>
        <v>282</v>
      </c>
      <c r="F72" s="101">
        <v>282</v>
      </c>
      <c r="G72" s="140"/>
      <c r="H72" s="64">
        <f>E72/'Erkrankungs- und Strukturdaten'!$C$7</f>
        <v>512.72727272727263</v>
      </c>
      <c r="I72" s="64">
        <f t="shared" si="14"/>
        <v>22642</v>
      </c>
      <c r="J72" s="64">
        <f t="shared" si="13"/>
        <v>0</v>
      </c>
      <c r="K72" s="101">
        <f>IFERROR(IF(D72=_Datum,Prognoseparameter!$C$14,
IF(_WachstumsrateKURZ="Bundesweit",IF(D72&gt;_Datum,
         K71+AVERAGE(F68:F71)*(1+_WR)*(1-(K71-VLOOKUP('Erkrankungs- und Strukturdaten'!$C$45,$D:$M,$K$1,FALSE))/$B$16),
         K73-$B$23*F73),
IF(D72&gt;_Datum,K71+G72,IF(G73="",K73/(K73^(1/N72)),K73-G73)))),"")</f>
        <v>0</v>
      </c>
      <c r="L72" s="64">
        <f>I72/'Erkrankungs- und Strukturdaten'!$C$7</f>
        <v>41167.272727272721</v>
      </c>
      <c r="M72" s="65">
        <f t="shared" si="15"/>
        <v>1.2611806797853309E-2</v>
      </c>
      <c r="N72" s="163">
        <v>69</v>
      </c>
      <c r="O72" s="208">
        <f t="shared" si="12"/>
        <v>1</v>
      </c>
    </row>
    <row r="73" spans="1:15" ht="12.95" customHeight="1" x14ac:dyDescent="0.2">
      <c r="A73" s="179"/>
      <c r="B73" s="179"/>
      <c r="D73" s="86">
        <v>43927</v>
      </c>
      <c r="E73" s="64">
        <f t="shared" si="11"/>
        <v>924</v>
      </c>
      <c r="F73" s="101">
        <v>924</v>
      </c>
      <c r="G73" s="140"/>
      <c r="H73" s="64">
        <f>E73/'Erkrankungs- und Strukturdaten'!$C$7</f>
        <v>1679.9999999999998</v>
      </c>
      <c r="I73" s="64">
        <f t="shared" si="14"/>
        <v>23566</v>
      </c>
      <c r="J73" s="64">
        <f t="shared" si="13"/>
        <v>0</v>
      </c>
      <c r="K73" s="101">
        <f>IFERROR(IF(D73=_Datum,Prognoseparameter!$C$14,
IF(_WachstumsrateKURZ="Bundesweit",IF(D73&gt;_Datum,
         K72+AVERAGE(F69:F72)*(1+_WR)*(1-(K72-VLOOKUP('Erkrankungs- und Strukturdaten'!$C$45,$D:$M,$K$1,FALSE))/$B$16),
         K74-$B$23*F74),
IF(D73&gt;_Datum,K72+G73,IF(G74="",K74/(K74^(1/N73)),K74-G74)))),"")</f>
        <v>0</v>
      </c>
      <c r="L73" s="64">
        <f>I73/'Erkrankungs- und Strukturdaten'!$C$7</f>
        <v>42847.272727272721</v>
      </c>
      <c r="M73" s="65">
        <f t="shared" si="15"/>
        <v>4.0809115802490949E-2</v>
      </c>
      <c r="N73" s="163">
        <v>70</v>
      </c>
      <c r="O73" s="208">
        <f t="shared" si="12"/>
        <v>1</v>
      </c>
    </row>
    <row r="74" spans="1:15" ht="12.95" customHeight="1" x14ac:dyDescent="0.2">
      <c r="A74" s="179"/>
      <c r="B74" s="179"/>
      <c r="D74" s="86">
        <v>43928</v>
      </c>
      <c r="E74" s="64">
        <f t="shared" si="11"/>
        <v>715</v>
      </c>
      <c r="F74" s="101">
        <v>715</v>
      </c>
      <c r="G74" s="140"/>
      <c r="H74" s="64">
        <f>E74/'Erkrankungs- und Strukturdaten'!$C$7</f>
        <v>1300</v>
      </c>
      <c r="I74" s="64">
        <f t="shared" si="14"/>
        <v>24281</v>
      </c>
      <c r="J74" s="64">
        <f t="shared" si="13"/>
        <v>0</v>
      </c>
      <c r="K74" s="101">
        <f>IFERROR(IF(D74=_Datum,Prognoseparameter!$C$14,
IF(_WachstumsrateKURZ="Bundesweit",IF(D74&gt;_Datum,
         K73+AVERAGE(F70:F73)*(1+_WR)*(1-(K73-VLOOKUP('Erkrankungs- und Strukturdaten'!$C$45,$D:$M,$K$1,FALSE))/$B$16),
         K75-$B$23*F75),
IF(D74&gt;_Datum,K73+G74,IF(G75="",K75/(K75^(1/N74)),K75-G75)))),"")</f>
        <v>0</v>
      </c>
      <c r="L74" s="64">
        <f>I74/'Erkrankungs- und Strukturdaten'!$C$7</f>
        <v>44147.272727272721</v>
      </c>
      <c r="M74" s="65">
        <f t="shared" si="15"/>
        <v>3.0340320801154206E-2</v>
      </c>
      <c r="N74" s="163">
        <v>71</v>
      </c>
      <c r="O74" s="208">
        <f t="shared" si="12"/>
        <v>1</v>
      </c>
    </row>
    <row r="75" spans="1:15" x14ac:dyDescent="0.2">
      <c r="A75" s="179"/>
      <c r="B75" s="179"/>
      <c r="D75" s="86">
        <v>43929</v>
      </c>
      <c r="E75" s="64">
        <f t="shared" si="11"/>
        <v>612</v>
      </c>
      <c r="F75" s="101">
        <v>612</v>
      </c>
      <c r="G75" s="140"/>
      <c r="H75" s="64">
        <f>E75/'Erkrankungs- und Strukturdaten'!$C$7</f>
        <v>1112.7272727272727</v>
      </c>
      <c r="I75" s="64">
        <f t="shared" si="14"/>
        <v>24893</v>
      </c>
      <c r="J75" s="64">
        <f t="shared" si="13"/>
        <v>0</v>
      </c>
      <c r="K75" s="101">
        <f>IFERROR(IF(D75=_Datum,Prognoseparameter!$C$14,
IF(_WachstumsrateKURZ="Bundesweit",IF(D75&gt;_Datum,
         K74+AVERAGE(F71:F74)*(1+_WR)*(1-(K74-VLOOKUP('Erkrankungs- und Strukturdaten'!$C$45,$D:$M,$K$1,FALSE))/$B$16),
         K76-$B$23*F76),
IF(D75&gt;_Datum,K74+G75,IF(G76="",K76/(K76^(1/N75)),K76-G76)))),"")</f>
        <v>0</v>
      </c>
      <c r="L75" s="64">
        <f>I75/'Erkrankungs- und Strukturdaten'!$C$7</f>
        <v>45259.999999999993</v>
      </c>
      <c r="M75" s="65">
        <f t="shared" si="15"/>
        <v>2.5204892714468102E-2</v>
      </c>
      <c r="N75" s="163">
        <v>72</v>
      </c>
      <c r="O75" s="208">
        <f t="shared" si="12"/>
        <v>1</v>
      </c>
    </row>
    <row r="76" spans="1:15" ht="12.95" customHeight="1" x14ac:dyDescent="0.2">
      <c r="A76" s="179"/>
      <c r="B76" s="179"/>
      <c r="D76" s="86">
        <v>43930</v>
      </c>
      <c r="E76" s="64">
        <f t="shared" si="11"/>
        <v>560</v>
      </c>
      <c r="F76" s="101">
        <v>560</v>
      </c>
      <c r="G76" s="140"/>
      <c r="H76" s="64">
        <f>E76/'Erkrankungs- und Strukturdaten'!$C$7</f>
        <v>1018.1818181818181</v>
      </c>
      <c r="I76" s="64">
        <f t="shared" si="14"/>
        <v>25453</v>
      </c>
      <c r="J76" s="64">
        <f t="shared" si="13"/>
        <v>0</v>
      </c>
      <c r="K76" s="101">
        <f>IFERROR(IF(D76=_Datum,Prognoseparameter!$C$14,
IF(_WachstumsrateKURZ="Bundesweit",IF(D76&gt;_Datum,
         K75+AVERAGE(F72:F75)*(1+_WR)*(1-(K75-VLOOKUP('Erkrankungs- und Strukturdaten'!$C$45,$D:$M,$K$1,FALSE))/$B$16),
         K77-$B$23*F77),
IF(D76&gt;_Datum,K75+G76,IF(G77="",K77/(K77^(1/N76)),K77-G77)))),"")</f>
        <v>0</v>
      </c>
      <c r="L76" s="64">
        <f>I76/'Erkrankungs- und Strukturdaten'!$C$7</f>
        <v>46278.181818181816</v>
      </c>
      <c r="M76" s="65">
        <f t="shared" si="15"/>
        <v>2.2496284095930581E-2</v>
      </c>
      <c r="N76" s="163">
        <v>73</v>
      </c>
      <c r="O76" s="208">
        <f t="shared" si="12"/>
        <v>1</v>
      </c>
    </row>
    <row r="77" spans="1:15" ht="12.95" customHeight="1" x14ac:dyDescent="0.2">
      <c r="A77" s="179"/>
      <c r="B77" s="179"/>
      <c r="D77" s="86">
        <v>43931</v>
      </c>
      <c r="E77" s="64">
        <f t="shared" si="11"/>
        <v>309</v>
      </c>
      <c r="F77" s="101">
        <v>309</v>
      </c>
      <c r="G77" s="140"/>
      <c r="H77" s="64">
        <f>E77/'Erkrankungs- und Strukturdaten'!$C$7</f>
        <v>561.81818181818176</v>
      </c>
      <c r="I77" s="64">
        <f t="shared" si="14"/>
        <v>25762</v>
      </c>
      <c r="J77" s="64">
        <f t="shared" si="13"/>
        <v>0</v>
      </c>
      <c r="K77" s="101">
        <f>IFERROR(IF(D77=_Datum,Prognoseparameter!$C$14,
IF(_WachstumsrateKURZ="Bundesweit",IF(D77&gt;_Datum,
         K76+AVERAGE(F73:F76)*(1+_WR)*(1-(K76-VLOOKUP('Erkrankungs- und Strukturdaten'!$C$45,$D:$M,$K$1,FALSE))/$B$16),
         K78-$B$23*F78),
IF(D77&gt;_Datum,K76+G77,IF(G78="",K78/(K78^(1/N77)),K78-G78)))),"")</f>
        <v>0</v>
      </c>
      <c r="L77" s="64">
        <f>I77/'Erkrankungs- und Strukturdaten'!$C$7</f>
        <v>46839.999999999993</v>
      </c>
      <c r="M77" s="65">
        <f t="shared" si="15"/>
        <v>1.2140022787097788E-2</v>
      </c>
      <c r="N77" s="163">
        <v>74</v>
      </c>
      <c r="O77" s="208">
        <f t="shared" si="12"/>
        <v>1</v>
      </c>
    </row>
    <row r="78" spans="1:15" x14ac:dyDescent="0.2">
      <c r="A78" s="179"/>
      <c r="B78" s="179"/>
      <c r="D78" s="86">
        <v>43932</v>
      </c>
      <c r="E78" s="64">
        <f t="shared" si="11"/>
        <v>260</v>
      </c>
      <c r="F78" s="101">
        <v>260</v>
      </c>
      <c r="G78" s="140"/>
      <c r="H78" s="64">
        <f>E78/'Erkrankungs- und Strukturdaten'!$C$7</f>
        <v>472.72727272727269</v>
      </c>
      <c r="I78" s="64">
        <f t="shared" si="14"/>
        <v>26022</v>
      </c>
      <c r="J78" s="64">
        <f t="shared" si="13"/>
        <v>0</v>
      </c>
      <c r="K78" s="101">
        <f>IFERROR(IF(D78=_Datum,Prognoseparameter!$C$14,
IF(_WachstumsrateKURZ="Bundesweit",IF(D78&gt;_Datum,
         K77+AVERAGE(F74:F77)*(1+_WR)*(1-(K77-VLOOKUP('Erkrankungs- und Strukturdaten'!$C$45,$D:$M,$K$1,FALSE))/$B$16),
         K79-$B$23*F79),
IF(D78&gt;_Datum,K77+G78,IF(G79="",K79/(K79^(1/N78)),K79-G79)))),"")</f>
        <v>0</v>
      </c>
      <c r="L78" s="64">
        <f>I78/'Erkrankungs- und Strukturdaten'!$C$7</f>
        <v>47312.727272727272</v>
      </c>
      <c r="M78" s="65">
        <f t="shared" si="15"/>
        <v>1.0092384131666797E-2</v>
      </c>
      <c r="N78" s="163">
        <v>75</v>
      </c>
      <c r="O78" s="208">
        <f t="shared" si="12"/>
        <v>1</v>
      </c>
    </row>
    <row r="79" spans="1:15" x14ac:dyDescent="0.2">
      <c r="A79" s="179"/>
      <c r="B79" s="179"/>
      <c r="D79" s="86">
        <v>43933</v>
      </c>
      <c r="E79" s="64">
        <f t="shared" si="11"/>
        <v>219</v>
      </c>
      <c r="F79" s="101">
        <v>219</v>
      </c>
      <c r="G79" s="140"/>
      <c r="H79" s="64">
        <f>E79/'Erkrankungs- und Strukturdaten'!$C$7</f>
        <v>398.18181818181813</v>
      </c>
      <c r="I79" s="64">
        <f t="shared" si="14"/>
        <v>26241</v>
      </c>
      <c r="J79" s="64">
        <f t="shared" si="13"/>
        <v>0</v>
      </c>
      <c r="K79" s="101">
        <f>IFERROR(IF(D79=_Datum,Prognoseparameter!$C$14,
IF(_WachstumsrateKURZ="Bundesweit",IF(D79&gt;_Datum,
         K78+AVERAGE(F75:F78)*(1+_WR)*(1-(K78-VLOOKUP('Erkrankungs- und Strukturdaten'!$C$45,$D:$M,$K$1,FALSE))/$B$16),
         K80-$B$23*F80),
IF(D79&gt;_Datum,K78+G79,IF(G80="",K80/(K80^(1/N79)),K80-G80)))),"")</f>
        <v>0</v>
      </c>
      <c r="L79" s="64">
        <f>I79/'Erkrankungs- und Strukturdaten'!$C$7</f>
        <v>47710.909090909088</v>
      </c>
      <c r="M79" s="65">
        <f t="shared" si="15"/>
        <v>8.4159557297671193E-3</v>
      </c>
      <c r="N79" s="163">
        <v>76</v>
      </c>
      <c r="O79" s="208">
        <f t="shared" si="12"/>
        <v>1</v>
      </c>
    </row>
    <row r="80" spans="1:15" x14ac:dyDescent="0.2">
      <c r="A80" s="179"/>
      <c r="B80" s="179"/>
      <c r="D80" s="86">
        <v>43934</v>
      </c>
      <c r="E80" s="64">
        <f t="shared" si="11"/>
        <v>245</v>
      </c>
      <c r="F80" s="101">
        <v>245</v>
      </c>
      <c r="G80" s="140"/>
      <c r="H80" s="64">
        <f>E80/'Erkrankungs- und Strukturdaten'!$C$7</f>
        <v>445.45454545454544</v>
      </c>
      <c r="I80" s="64">
        <f t="shared" si="14"/>
        <v>26486</v>
      </c>
      <c r="J80" s="64">
        <f t="shared" si="13"/>
        <v>0</v>
      </c>
      <c r="K80" s="101">
        <f>IFERROR(IF(D80=_Datum,Prognoseparameter!$C$14,
IF(_WachstumsrateKURZ="Bundesweit",IF(D80&gt;_Datum,
         K79+AVERAGE(F76:F79)*(1+_WR)*(1-(K79-VLOOKUP('Erkrankungs- und Strukturdaten'!$C$45,$D:$M,$K$1,FALSE))/$B$16),
         K81-$B$23*F81),
IF(D80&gt;_Datum,K79+G80,IF(G81="",K81/(K81^(1/N80)),K81-G81)))),"")</f>
        <v>0</v>
      </c>
      <c r="L80" s="64">
        <f>I80/'Erkrankungs- und Strukturdaten'!$C$7</f>
        <v>48156.363636363632</v>
      </c>
      <c r="M80" s="65">
        <f t="shared" si="15"/>
        <v>9.3365344308524827E-3</v>
      </c>
      <c r="N80" s="163">
        <v>77</v>
      </c>
      <c r="O80" s="208">
        <f t="shared" si="12"/>
        <v>1</v>
      </c>
    </row>
    <row r="81" spans="1:15" x14ac:dyDescent="0.2">
      <c r="A81" s="179"/>
      <c r="B81" s="179"/>
      <c r="D81" s="86">
        <v>43935</v>
      </c>
      <c r="E81" s="64">
        <f t="shared" si="11"/>
        <v>424</v>
      </c>
      <c r="F81" s="101">
        <v>424</v>
      </c>
      <c r="G81" s="140"/>
      <c r="H81" s="64">
        <f>E81/'Erkrankungs- und Strukturdaten'!$C$7</f>
        <v>770.90909090909088</v>
      </c>
      <c r="I81" s="64">
        <f t="shared" si="14"/>
        <v>26910</v>
      </c>
      <c r="J81" s="64">
        <f t="shared" si="13"/>
        <v>0</v>
      </c>
      <c r="K81" s="101">
        <f>IFERROR(IF(D81=_Datum,Prognoseparameter!$C$14,
IF(_WachstumsrateKURZ="Bundesweit",IF(D81&gt;_Datum,
         K80+AVERAGE(F77:F80)*(1+_WR)*(1-(K80-VLOOKUP('Erkrankungs- und Strukturdaten'!$C$45,$D:$M,$K$1,FALSE))/$B$16),
         K82-$B$23*F82),
IF(D81&gt;_Datum,K80+G81,IF(G82="",K82/(K82^(1/N81)),K82-G82)))),"")</f>
        <v>0</v>
      </c>
      <c r="L81" s="64">
        <f>I81/'Erkrankungs- und Strukturdaten'!$C$7</f>
        <v>48927.272727272721</v>
      </c>
      <c r="M81" s="65">
        <f t="shared" si="15"/>
        <v>1.6008457298195274E-2</v>
      </c>
      <c r="N81" s="163">
        <v>78</v>
      </c>
      <c r="O81" s="208">
        <f t="shared" si="12"/>
        <v>1</v>
      </c>
    </row>
    <row r="82" spans="1:15" x14ac:dyDescent="0.2">
      <c r="A82" s="179"/>
      <c r="B82" s="179"/>
      <c r="D82" s="86">
        <v>43936</v>
      </c>
      <c r="E82" s="64">
        <f t="shared" si="11"/>
        <v>328</v>
      </c>
      <c r="F82" s="101">
        <v>328</v>
      </c>
      <c r="G82" s="140"/>
      <c r="H82" s="64">
        <f>E82/'Erkrankungs- und Strukturdaten'!$C$7</f>
        <v>596.36363636363626</v>
      </c>
      <c r="I82" s="64">
        <f t="shared" si="14"/>
        <v>27238</v>
      </c>
      <c r="J82" s="64">
        <f t="shared" si="13"/>
        <v>0</v>
      </c>
      <c r="K82" s="101">
        <f>IFERROR(IF(D82=_Datum,Prognoseparameter!$C$14,
IF(_WachstumsrateKURZ="Bundesweit",IF(D82&gt;_Datum,
         K81+AVERAGE(F78:F81)*(1+_WR)*(1-(K81-VLOOKUP('Erkrankungs- und Strukturdaten'!$C$45,$D:$M,$K$1,FALSE))/$B$16),
         K83-$B$23*F83),
IF(D82&gt;_Datum,K81+G82,IF(G83="",K83/(K83^(1/N82)),K83-G83)))),"")</f>
        <v>0</v>
      </c>
      <c r="L82" s="64">
        <f>I82/'Erkrankungs- und Strukturdaten'!$C$7</f>
        <v>49523.63636363636</v>
      </c>
      <c r="M82" s="65">
        <f t="shared" si="15"/>
        <v>1.2188777406168711E-2</v>
      </c>
      <c r="N82" s="163">
        <v>79</v>
      </c>
      <c r="O82" s="208">
        <f t="shared" si="12"/>
        <v>1</v>
      </c>
    </row>
    <row r="83" spans="1:15" x14ac:dyDescent="0.2">
      <c r="A83" s="179"/>
      <c r="B83" s="179"/>
      <c r="D83" s="86">
        <v>43937</v>
      </c>
      <c r="E83" s="64">
        <f t="shared" si="11"/>
        <v>320</v>
      </c>
      <c r="F83" s="101">
        <v>320</v>
      </c>
      <c r="G83" s="140"/>
      <c r="H83" s="64">
        <f>E83/'Erkrankungs- und Strukturdaten'!$C$7</f>
        <v>581.81818181818176</v>
      </c>
      <c r="I83" s="64">
        <f t="shared" si="14"/>
        <v>27558</v>
      </c>
      <c r="J83" s="64">
        <f t="shared" si="13"/>
        <v>0</v>
      </c>
      <c r="K83" s="101">
        <f>IFERROR(IF(D83=_Datum,Prognoseparameter!$C$14,
IF(_WachstumsrateKURZ="Bundesweit",IF(D83&gt;_Datum,
         K82+AVERAGE(F79:F82)*(1+_WR)*(1-(K82-VLOOKUP('Erkrankungs- und Strukturdaten'!$C$45,$D:$M,$K$1,FALSE))/$B$16),
         K84-$B$23*F84),
IF(D83&gt;_Datum,K82+G83,IF(G84="",K84/(K84^(1/N83)),K84-G84)))),"")</f>
        <v>0</v>
      </c>
      <c r="L83" s="64">
        <f>I83/'Erkrankungs- und Strukturdaten'!$C$7</f>
        <v>50105.454545454544</v>
      </c>
      <c r="M83" s="65">
        <f t="shared" si="15"/>
        <v>1.1748292826198693E-2</v>
      </c>
      <c r="N83" s="163">
        <v>80</v>
      </c>
      <c r="O83" s="208">
        <f t="shared" si="12"/>
        <v>1</v>
      </c>
    </row>
    <row r="84" spans="1:15" x14ac:dyDescent="0.2">
      <c r="A84" s="179"/>
      <c r="B84" s="179"/>
      <c r="D84" s="86">
        <v>43938</v>
      </c>
      <c r="E84" s="64">
        <f t="shared" si="11"/>
        <v>291</v>
      </c>
      <c r="F84" s="101">
        <v>291</v>
      </c>
      <c r="G84" s="140"/>
      <c r="H84" s="64">
        <f>E84/'Erkrankungs- und Strukturdaten'!$C$7</f>
        <v>529.09090909090901</v>
      </c>
      <c r="I84" s="64">
        <f t="shared" si="14"/>
        <v>27849</v>
      </c>
      <c r="J84" s="64">
        <f t="shared" si="13"/>
        <v>0</v>
      </c>
      <c r="K84" s="101">
        <f>IFERROR(IF(D84=_Datum,Prognoseparameter!$C$14,
IF(_WachstumsrateKURZ="Bundesweit",IF(D84&gt;_Datum,
         K83+AVERAGE(F80:F83)*(1+_WR)*(1-(K83-VLOOKUP('Erkrankungs- und Strukturdaten'!$C$45,$D:$M,$K$1,FALSE))/$B$16),
         K85-$B$23*F85),
IF(D84&gt;_Datum,K83+G84,IF(G85="",K85/(K85^(1/N84)),K85-G85)))),"")</f>
        <v>0</v>
      </c>
      <c r="L84" s="64">
        <f>I84/'Erkrankungs- und Strukturdaten'!$C$7</f>
        <v>50634.545454545449</v>
      </c>
      <c r="M84" s="65">
        <f t="shared" si="15"/>
        <v>1.0559547136947529E-2</v>
      </c>
      <c r="N84" s="163">
        <v>81</v>
      </c>
      <c r="O84" s="208">
        <f t="shared" si="12"/>
        <v>1</v>
      </c>
    </row>
    <row r="85" spans="1:15" x14ac:dyDescent="0.2">
      <c r="A85" s="179"/>
      <c r="B85" s="179"/>
      <c r="D85" s="86">
        <v>43939</v>
      </c>
      <c r="E85" s="64">
        <f t="shared" si="11"/>
        <v>145</v>
      </c>
      <c r="F85" s="101">
        <v>145</v>
      </c>
      <c r="G85" s="140"/>
      <c r="H85" s="64">
        <f>E85/'Erkrankungs- und Strukturdaten'!$C$7</f>
        <v>263.63636363636363</v>
      </c>
      <c r="I85" s="64">
        <f t="shared" si="14"/>
        <v>27994</v>
      </c>
      <c r="J85" s="64">
        <f t="shared" si="13"/>
        <v>0</v>
      </c>
      <c r="K85" s="101">
        <f>IFERROR(IF(D85=_Datum,Prognoseparameter!$C$14,
IF(_WachstumsrateKURZ="Bundesweit",IF(D85&gt;_Datum,
         K84+AVERAGE(F81:F84)*(1+_WR)*(1-(K84-VLOOKUP('Erkrankungs- und Strukturdaten'!$C$45,$D:$M,$K$1,FALSE))/$B$16),
         K86-$B$23*F86),
IF(D85&gt;_Datum,K84+G85,IF(G86="",K86/(K86^(1/N85)),K86-G86)))),"")</f>
        <v>0</v>
      </c>
      <c r="L85" s="64">
        <f>I85/'Erkrankungs- und Strukturdaten'!$C$7</f>
        <v>50898.181818181816</v>
      </c>
      <c r="M85" s="65">
        <f t="shared" si="15"/>
        <v>5.206650149017918E-3</v>
      </c>
      <c r="N85" s="163">
        <v>82</v>
      </c>
      <c r="O85" s="208">
        <f t="shared" si="12"/>
        <v>1</v>
      </c>
    </row>
    <row r="86" spans="1:15" x14ac:dyDescent="0.2">
      <c r="A86" s="179"/>
      <c r="B86" s="179"/>
      <c r="D86" s="86">
        <v>43940</v>
      </c>
      <c r="E86" s="64">
        <f t="shared" si="11"/>
        <v>87</v>
      </c>
      <c r="F86" s="101">
        <v>87</v>
      </c>
      <c r="G86" s="140"/>
      <c r="H86" s="64">
        <f>E86/'Erkrankungs- und Strukturdaten'!$C$7</f>
        <v>158.18181818181816</v>
      </c>
      <c r="I86" s="64">
        <f t="shared" si="14"/>
        <v>28081</v>
      </c>
      <c r="J86" s="64">
        <f t="shared" si="13"/>
        <v>0</v>
      </c>
      <c r="K86" s="101">
        <f>IFERROR(IF(D86=_Datum,Prognoseparameter!$C$14,
IF(_WachstumsrateKURZ="Bundesweit",IF(D86&gt;_Datum,
         K85+AVERAGE(F82:F85)*(1+_WR)*(1-(K85-VLOOKUP('Erkrankungs- und Strukturdaten'!$C$45,$D:$M,$K$1,FALSE))/$B$16),
         K87-$B$23*F87),
IF(D86&gt;_Datum,K85+G86,IF(G87="",K87/(K87^(1/N86)),K87-G87)))),"")</f>
        <v>0</v>
      </c>
      <c r="L86" s="64">
        <f>I86/'Erkrankungs- und Strukturdaten'!$C$7</f>
        <v>51056.363636363632</v>
      </c>
      <c r="M86" s="65">
        <f t="shared" si="15"/>
        <v>3.1078088161748947E-3</v>
      </c>
      <c r="N86" s="163">
        <v>83</v>
      </c>
      <c r="O86" s="208">
        <f t="shared" si="12"/>
        <v>1</v>
      </c>
    </row>
    <row r="87" spans="1:15" x14ac:dyDescent="0.2">
      <c r="A87" s="179"/>
      <c r="B87" s="179"/>
      <c r="D87" s="86">
        <v>43941</v>
      </c>
      <c r="E87" s="64">
        <f t="shared" si="11"/>
        <v>277</v>
      </c>
      <c r="F87" s="101">
        <v>277</v>
      </c>
      <c r="G87" s="140"/>
      <c r="H87" s="64">
        <f>E87/'Erkrankungs- und Strukturdaten'!$C$7</f>
        <v>503.63636363636357</v>
      </c>
      <c r="I87" s="64">
        <f t="shared" si="14"/>
        <v>28358</v>
      </c>
      <c r="J87" s="64">
        <f t="shared" si="13"/>
        <v>0</v>
      </c>
      <c r="K87" s="101">
        <f>IFERROR(IF(D87=_Datum,Prognoseparameter!$C$14,
IF(_WachstumsrateKURZ="Bundesweit",IF(D87&gt;_Datum,
         K86+AVERAGE(F83:F86)*(1+_WR)*(1-(K86-VLOOKUP('Erkrankungs- und Strukturdaten'!$C$45,$D:$M,$K$1,FALSE))/$B$16),
         K88-$B$23*F88),
IF(D87&gt;_Datum,K86+G87,IF(G88="",K88/(K88^(1/N87)),K88-G88)))),"")</f>
        <v>0</v>
      </c>
      <c r="L87" s="64">
        <f>I87/'Erkrankungs- und Strukturdaten'!$C$7</f>
        <v>51559.999999999993</v>
      </c>
      <c r="M87" s="65">
        <f t="shared" si="15"/>
        <v>9.8643210711869232E-3</v>
      </c>
      <c r="N87" s="163">
        <v>84</v>
      </c>
      <c r="O87" s="208">
        <f t="shared" si="12"/>
        <v>1</v>
      </c>
    </row>
    <row r="88" spans="1:15" x14ac:dyDescent="0.2">
      <c r="A88" s="179"/>
      <c r="B88" s="179"/>
      <c r="D88" s="86">
        <v>43942</v>
      </c>
      <c r="E88" s="64">
        <f t="shared" si="11"/>
        <v>213</v>
      </c>
      <c r="F88" s="101">
        <v>213</v>
      </c>
      <c r="G88" s="140"/>
      <c r="H88" s="64">
        <f>E88/'Erkrankungs- und Strukturdaten'!$C$7</f>
        <v>387.27272727272725</v>
      </c>
      <c r="I88" s="64">
        <f t="shared" si="14"/>
        <v>28571</v>
      </c>
      <c r="J88" s="64">
        <f t="shared" si="13"/>
        <v>0</v>
      </c>
      <c r="K88" s="101">
        <f>IFERROR(IF(D88=_Datum,Prognoseparameter!$C$14,
IF(_WachstumsrateKURZ="Bundesweit",IF(D88&gt;_Datum,
         K87+AVERAGE(F84:F87)*(1+_WR)*(1-(K87-VLOOKUP('Erkrankungs- und Strukturdaten'!$C$45,$D:$M,$K$1,FALSE))/$B$16),
         K89-$B$23*F89),
IF(D88&gt;_Datum,K87+G88,IF(G89="",K89/(K89^(1/N88)),K89-G89)))),"")</f>
        <v>0</v>
      </c>
      <c r="L88" s="64">
        <f>I88/'Erkrankungs- und Strukturdaten'!$C$7</f>
        <v>51947.272727272721</v>
      </c>
      <c r="M88" s="65">
        <f t="shared" si="15"/>
        <v>7.5111079765850909E-3</v>
      </c>
      <c r="N88" s="163">
        <v>85</v>
      </c>
      <c r="O88" s="208">
        <f t="shared" si="12"/>
        <v>1</v>
      </c>
    </row>
    <row r="89" spans="1:15" x14ac:dyDescent="0.2">
      <c r="A89" s="179"/>
      <c r="B89" s="179"/>
      <c r="D89" s="86">
        <v>43943</v>
      </c>
      <c r="E89" s="64">
        <f t="shared" si="11"/>
        <v>155</v>
      </c>
      <c r="F89" s="101">
        <v>155</v>
      </c>
      <c r="G89" s="140"/>
      <c r="H89" s="64">
        <f>E89/'Erkrankungs- und Strukturdaten'!$C$7</f>
        <v>281.81818181818181</v>
      </c>
      <c r="I89" s="64">
        <f t="shared" si="14"/>
        <v>28726</v>
      </c>
      <c r="J89" s="64">
        <f t="shared" si="13"/>
        <v>0</v>
      </c>
      <c r="K89" s="101">
        <f>IFERROR(IF(D89=_Datum,Prognoseparameter!$C$14,
IF(_WachstumsrateKURZ="Bundesweit",IF(D89&gt;_Datum,
         K88+AVERAGE(F85:F88)*(1+_WR)*(1-(K88-VLOOKUP('Erkrankungs- und Strukturdaten'!$C$45,$D:$M,$K$1,FALSE))/$B$16),
         K90-$B$23*F90),
IF(D89&gt;_Datum,K88+G89,IF(G90="",K90/(K90^(1/N89)),K90-G90)))),"")</f>
        <v>0</v>
      </c>
      <c r="L89" s="64">
        <f>I89/'Erkrankungs- und Strukturdaten'!$C$7</f>
        <v>52229.090909090904</v>
      </c>
      <c r="M89" s="65">
        <f t="shared" si="15"/>
        <v>5.4250813762206432E-3</v>
      </c>
      <c r="N89" s="163">
        <v>86</v>
      </c>
      <c r="O89" s="208">
        <f t="shared" si="12"/>
        <v>1</v>
      </c>
    </row>
    <row r="90" spans="1:15" x14ac:dyDescent="0.2">
      <c r="A90" s="179"/>
      <c r="B90" s="179"/>
      <c r="D90" s="86">
        <v>43944</v>
      </c>
      <c r="E90" s="64">
        <f t="shared" si="11"/>
        <v>207</v>
      </c>
      <c r="F90" s="101">
        <v>207</v>
      </c>
      <c r="G90" s="140"/>
      <c r="H90" s="64">
        <f>E90/'Erkrankungs- und Strukturdaten'!$C$7</f>
        <v>376.36363636363632</v>
      </c>
      <c r="I90" s="64">
        <f t="shared" si="14"/>
        <v>28933</v>
      </c>
      <c r="J90" s="64">
        <f t="shared" si="13"/>
        <v>0</v>
      </c>
      <c r="K90" s="101">
        <f>IFERROR(IF(D90=_Datum,Prognoseparameter!$C$14,
IF(_WachstumsrateKURZ="Bundesweit",IF(D90&gt;_Datum,
         K89+AVERAGE(F86:F89)*(1+_WR)*(1-(K89-VLOOKUP('Erkrankungs- und Strukturdaten'!$C$45,$D:$M,$K$1,FALSE))/$B$16),
         K91-$B$23*F91),
IF(D90&gt;_Datum,K89+G90,IF(G91="",K91/(K91^(1/N90)),K91-G91)))),"")</f>
        <v>0</v>
      </c>
      <c r="L90" s="64">
        <f>I90/'Erkrankungs- und Strukturdaten'!$C$7</f>
        <v>52605.454545454544</v>
      </c>
      <c r="M90" s="65">
        <f t="shared" si="15"/>
        <v>7.2060154563809787E-3</v>
      </c>
      <c r="N90" s="163">
        <v>87</v>
      </c>
      <c r="O90" s="208">
        <f t="shared" si="12"/>
        <v>1</v>
      </c>
    </row>
    <row r="91" spans="1:15" x14ac:dyDescent="0.2">
      <c r="A91" s="179"/>
      <c r="B91" s="179"/>
      <c r="D91" s="86">
        <v>43945</v>
      </c>
      <c r="E91" s="64">
        <f t="shared" si="11"/>
        <v>167</v>
      </c>
      <c r="F91" s="101">
        <v>167</v>
      </c>
      <c r="G91" s="140"/>
      <c r="H91" s="64">
        <f>E91/'Erkrankungs- und Strukturdaten'!$C$7</f>
        <v>303.63636363636363</v>
      </c>
      <c r="I91" s="64">
        <f t="shared" si="14"/>
        <v>29100</v>
      </c>
      <c r="J91" s="64">
        <f t="shared" si="13"/>
        <v>0</v>
      </c>
      <c r="K91" s="101">
        <f>IFERROR(IF(D91=_Datum,Prognoseparameter!$C$14,
IF(_WachstumsrateKURZ="Bundesweit",IF(D91&gt;_Datum,
         K90+AVERAGE(F87:F90)*(1+_WR)*(1-(K90-VLOOKUP('Erkrankungs- und Strukturdaten'!$C$45,$D:$M,$K$1,FALSE))/$B$16),
         K92-$B$23*F92),
IF(D91&gt;_Datum,K90+G91,IF(G92="",K92/(K92^(1/N91)),K92-G92)))),"")</f>
        <v>0</v>
      </c>
      <c r="L91" s="64">
        <f>I91/'Erkrankungs- und Strukturdaten'!$C$7</f>
        <v>52909.090909090904</v>
      </c>
      <c r="M91" s="65">
        <f t="shared" si="15"/>
        <v>5.771955898109425E-3</v>
      </c>
      <c r="N91" s="163">
        <v>88</v>
      </c>
      <c r="O91" s="208">
        <f t="shared" si="12"/>
        <v>1</v>
      </c>
    </row>
    <row r="92" spans="1:15" x14ac:dyDescent="0.2">
      <c r="A92" s="179"/>
      <c r="B92" s="179"/>
      <c r="D92" s="86">
        <v>43946</v>
      </c>
      <c r="E92" s="64">
        <f t="shared" si="11"/>
        <v>87</v>
      </c>
      <c r="F92" s="101">
        <v>87</v>
      </c>
      <c r="G92" s="140"/>
      <c r="H92" s="64">
        <f>E92/'Erkrankungs- und Strukturdaten'!$C$7</f>
        <v>158.18181818181816</v>
      </c>
      <c r="I92" s="64">
        <f t="shared" si="14"/>
        <v>29187</v>
      </c>
      <c r="J92" s="64">
        <f t="shared" si="13"/>
        <v>0</v>
      </c>
      <c r="K92" s="101">
        <f>IFERROR(IF(D92=_Datum,Prognoseparameter!$C$14,
IF(_WachstumsrateKURZ="Bundesweit",IF(D92&gt;_Datum,
         K91+AVERAGE(F88:F91)*(1+_WR)*(1-(K91-VLOOKUP('Erkrankungs- und Strukturdaten'!$C$45,$D:$M,$K$1,FALSE))/$B$16),
         K93-$B$23*F93),
IF(D92&gt;_Datum,K91+G92,IF(G93="",K93/(K93^(1/N92)),K93-G93)))),"")</f>
        <v>0</v>
      </c>
      <c r="L92" s="64">
        <f>I92/'Erkrankungs- und Strukturdaten'!$C$7</f>
        <v>53067.272727272721</v>
      </c>
      <c r="M92" s="65">
        <f t="shared" si="15"/>
        <v>2.9896907216494847E-3</v>
      </c>
      <c r="N92" s="163">
        <v>89</v>
      </c>
      <c r="O92" s="208">
        <f t="shared" si="12"/>
        <v>1</v>
      </c>
    </row>
    <row r="93" spans="1:15" x14ac:dyDescent="0.2">
      <c r="A93" s="179"/>
      <c r="B93" s="179"/>
      <c r="D93" s="86">
        <v>43947</v>
      </c>
      <c r="E93" s="64">
        <f t="shared" si="11"/>
        <v>61</v>
      </c>
      <c r="F93" s="101">
        <v>61</v>
      </c>
      <c r="G93" s="140"/>
      <c r="H93" s="64">
        <f>E93/'Erkrankungs- und Strukturdaten'!$C$7</f>
        <v>110.90909090909091</v>
      </c>
      <c r="I93" s="64">
        <f t="shared" si="14"/>
        <v>29248</v>
      </c>
      <c r="J93" s="64">
        <f t="shared" si="13"/>
        <v>0</v>
      </c>
      <c r="K93" s="101">
        <f>IFERROR(IF(D93=_Datum,Prognoseparameter!$C$14,
IF(_WachstumsrateKURZ="Bundesweit",IF(D93&gt;_Datum,
         K92+AVERAGE(F89:F92)*(1+_WR)*(1-(K92-VLOOKUP('Erkrankungs- und Strukturdaten'!$C$45,$D:$M,$K$1,FALSE))/$B$16),
         K94-$B$23*F94),
IF(D93&gt;_Datum,K92+G93,IF(G94="",K94/(K94^(1/N93)),K94-G94)))),"")</f>
        <v>0</v>
      </c>
      <c r="L93" s="64">
        <f>I93/'Erkrankungs- und Strukturdaten'!$C$7</f>
        <v>53178.181818181816</v>
      </c>
      <c r="M93" s="65">
        <f t="shared" si="15"/>
        <v>2.0899715626820159E-3</v>
      </c>
      <c r="N93" s="163">
        <v>90</v>
      </c>
      <c r="O93" s="208">
        <f t="shared" si="12"/>
        <v>1</v>
      </c>
    </row>
    <row r="94" spans="1:15" x14ac:dyDescent="0.2">
      <c r="A94" s="179"/>
      <c r="B94" s="179"/>
      <c r="D94" s="86">
        <v>43948</v>
      </c>
      <c r="E94" s="64">
        <f t="shared" si="11"/>
        <v>173</v>
      </c>
      <c r="F94" s="101">
        <v>173</v>
      </c>
      <c r="G94" s="140"/>
      <c r="H94" s="64">
        <f>E94/'Erkrankungs- und Strukturdaten'!$C$7</f>
        <v>314.5454545454545</v>
      </c>
      <c r="I94" s="64">
        <f t="shared" si="14"/>
        <v>29421</v>
      </c>
      <c r="J94" s="64">
        <f t="shared" si="13"/>
        <v>0</v>
      </c>
      <c r="K94" s="101">
        <f>IFERROR(IF(D94=_Datum,Prognoseparameter!$C$14,
IF(_WachstumsrateKURZ="Bundesweit",IF(D94&gt;_Datum,
         K93+AVERAGE(F90:F93)*(1+_WR)*(1-(K93-VLOOKUP('Erkrankungs- und Strukturdaten'!$C$45,$D:$M,$K$1,FALSE))/$B$16),
         K95-$B$23*F95),
IF(D94&gt;_Datum,K93+G94,IF(G95="",K95/(K95^(1/N94)),K95-G95)))),"")</f>
        <v>0</v>
      </c>
      <c r="L94" s="64">
        <f>I94/'Erkrankungs- und Strukturdaten'!$C$7</f>
        <v>53492.727272727265</v>
      </c>
      <c r="M94" s="65">
        <f t="shared" si="15"/>
        <v>5.9149343544857768E-3</v>
      </c>
      <c r="N94" s="163">
        <v>91</v>
      </c>
      <c r="O94" s="208">
        <f t="shared" si="12"/>
        <v>1</v>
      </c>
    </row>
    <row r="95" spans="1:15" x14ac:dyDescent="0.2">
      <c r="A95" s="179"/>
      <c r="B95" s="179"/>
      <c r="D95" s="86">
        <v>43949</v>
      </c>
      <c r="E95" s="64">
        <f t="shared" si="11"/>
        <v>153</v>
      </c>
      <c r="F95" s="101">
        <v>153</v>
      </c>
      <c r="G95" s="140"/>
      <c r="H95" s="64">
        <f>E95/'Erkrankungs- und Strukturdaten'!$C$7</f>
        <v>278.18181818181819</v>
      </c>
      <c r="I95" s="64">
        <f t="shared" si="14"/>
        <v>29574</v>
      </c>
      <c r="J95" s="64">
        <f t="shared" si="13"/>
        <v>0</v>
      </c>
      <c r="K95" s="101">
        <f>IFERROR(IF(D95=_Datum,Prognoseparameter!$C$14,
IF(_WachstumsrateKURZ="Bundesweit",IF(D95&gt;_Datum,
         K94+AVERAGE(F91:F94)*(1+_WR)*(1-(K94-VLOOKUP('Erkrankungs- und Strukturdaten'!$C$45,$D:$M,$K$1,FALSE))/$B$16),
         K96-$B$23*F96),
IF(D95&gt;_Datum,K94+G95,IF(G96="",K96/(K96^(1/N95)),K96-G96)))),"")</f>
        <v>0</v>
      </c>
      <c r="L95" s="64">
        <f>I95/'Erkrankungs- und Strukturdaten'!$C$7</f>
        <v>53770.909090909088</v>
      </c>
      <c r="M95" s="65">
        <f t="shared" si="15"/>
        <v>5.2003670847353932E-3</v>
      </c>
      <c r="N95" s="163">
        <v>92</v>
      </c>
      <c r="O95" s="208">
        <f t="shared" si="12"/>
        <v>1</v>
      </c>
    </row>
    <row r="96" spans="1:15" x14ac:dyDescent="0.2">
      <c r="A96" s="179"/>
      <c r="B96" s="179"/>
      <c r="D96" s="86">
        <v>43950</v>
      </c>
      <c r="E96" s="64">
        <f t="shared" si="11"/>
        <v>120</v>
      </c>
      <c r="F96" s="101">
        <v>120</v>
      </c>
      <c r="G96" s="140"/>
      <c r="H96" s="64">
        <f>E96/'Erkrankungs- und Strukturdaten'!$C$7</f>
        <v>218.18181818181816</v>
      </c>
      <c r="I96" s="64">
        <f t="shared" si="14"/>
        <v>29694</v>
      </c>
      <c r="J96" s="64">
        <f t="shared" si="13"/>
        <v>0</v>
      </c>
      <c r="K96" s="101">
        <f>IFERROR(IF(D96=_Datum,Prognoseparameter!$C$14,
IF(_WachstumsrateKURZ="Bundesweit",IF(D96&gt;_Datum,
         K95+AVERAGE(F92:F95)*(1+_WR)*(1-(K95-VLOOKUP('Erkrankungs- und Strukturdaten'!$C$45,$D:$M,$K$1,FALSE))/$B$16),
         K97-$B$23*F97),
IF(D96&gt;_Datum,K95+G96,IF(G97="",K97/(K97^(1/N96)),K97-G97)))),"")</f>
        <v>0</v>
      </c>
      <c r="L96" s="64">
        <f>I96/'Erkrankungs- und Strukturdaten'!$C$7</f>
        <v>53989.090909090904</v>
      </c>
      <c r="M96" s="65">
        <f t="shared" si="15"/>
        <v>4.0576181781294381E-3</v>
      </c>
      <c r="N96" s="163">
        <v>93</v>
      </c>
      <c r="O96" s="208">
        <f t="shared" si="12"/>
        <v>1</v>
      </c>
    </row>
    <row r="97" spans="1:15" x14ac:dyDescent="0.2">
      <c r="A97" s="179"/>
      <c r="B97" s="179"/>
      <c r="D97" s="86">
        <v>43951</v>
      </c>
      <c r="E97" s="64">
        <f t="shared" si="11"/>
        <v>101</v>
      </c>
      <c r="F97" s="101">
        <v>101</v>
      </c>
      <c r="G97" s="140"/>
      <c r="H97" s="64">
        <f>E97/'Erkrankungs- und Strukturdaten'!$C$7</f>
        <v>183.63636363636363</v>
      </c>
      <c r="I97" s="64">
        <f t="shared" si="14"/>
        <v>29795</v>
      </c>
      <c r="J97" s="64">
        <f t="shared" si="13"/>
        <v>0</v>
      </c>
      <c r="K97" s="101">
        <f>IFERROR(IF(D97=_Datum,Prognoseparameter!$C$14,
IF(_WachstumsrateKURZ="Bundesweit",IF(D97&gt;_Datum,
         K96+AVERAGE(F93:F96)*(1+_WR)*(1-(K96-VLOOKUP('Erkrankungs- und Strukturdaten'!$C$45,$D:$M,$K$1,FALSE))/$B$16),
         K98-$B$23*F98),
IF(D97&gt;_Datum,K96+G97,IF(G98="",K98/(K98^(1/N97)),K98-G98)))),"")</f>
        <v>0</v>
      </c>
      <c r="L97" s="64">
        <f>I97/'Erkrankungs- und Strukturdaten'!$C$7</f>
        <v>54172.727272727265</v>
      </c>
      <c r="M97" s="65">
        <f t="shared" si="15"/>
        <v>3.4013605442176869E-3</v>
      </c>
      <c r="N97" s="163">
        <v>94</v>
      </c>
      <c r="O97" s="208">
        <f t="shared" si="12"/>
        <v>1</v>
      </c>
    </row>
    <row r="98" spans="1:15" x14ac:dyDescent="0.2">
      <c r="A98" s="179"/>
      <c r="B98" s="179"/>
      <c r="D98" s="86">
        <v>43952</v>
      </c>
      <c r="E98" s="64">
        <f t="shared" si="11"/>
        <v>83</v>
      </c>
      <c r="F98" s="101">
        <v>83</v>
      </c>
      <c r="G98" s="140"/>
      <c r="H98" s="64">
        <f>E98/'Erkrankungs- und Strukturdaten'!$C$7</f>
        <v>150.90909090909091</v>
      </c>
      <c r="I98" s="64">
        <f t="shared" si="14"/>
        <v>29878</v>
      </c>
      <c r="J98" s="64">
        <f t="shared" si="13"/>
        <v>0</v>
      </c>
      <c r="K98" s="101">
        <f>IFERROR(IF(D98=_Datum,Prognoseparameter!$C$14,
IF(_WachstumsrateKURZ="Bundesweit",IF(D98&gt;_Datum,
         K97+AVERAGE(F94:F97)*(1+_WR)*(1-(K97-VLOOKUP('Erkrankungs- und Strukturdaten'!$C$45,$D:$M,$K$1,FALSE))/$B$16),
         K99-$B$23*F99),
IF(D98&gt;_Datum,K97+G98,IF(G99="",K99/(K99^(1/N98)),K99-G99)))),"")</f>
        <v>0</v>
      </c>
      <c r="L98" s="64">
        <f>I98/'Erkrankungs- und Strukturdaten'!$C$7</f>
        <v>54323.63636363636</v>
      </c>
      <c r="M98" s="65">
        <f t="shared" si="15"/>
        <v>2.7857022990434637E-3</v>
      </c>
      <c r="N98" s="163">
        <v>95</v>
      </c>
      <c r="O98" s="208">
        <f t="shared" si="12"/>
        <v>1</v>
      </c>
    </row>
    <row r="99" spans="1:15" x14ac:dyDescent="0.2">
      <c r="A99" s="179"/>
      <c r="B99" s="179"/>
      <c r="D99" s="86">
        <v>43953</v>
      </c>
      <c r="E99" s="64">
        <f t="shared" si="11"/>
        <v>47</v>
      </c>
      <c r="F99" s="101">
        <v>47</v>
      </c>
      <c r="G99" s="140"/>
      <c r="H99" s="64">
        <f>E99/'Erkrankungs- und Strukturdaten'!$C$7</f>
        <v>85.454545454545453</v>
      </c>
      <c r="I99" s="64">
        <f t="shared" si="14"/>
        <v>29925</v>
      </c>
      <c r="J99" s="64">
        <f t="shared" si="13"/>
        <v>0</v>
      </c>
      <c r="K99" s="101">
        <f>IFERROR(IF(D99=_Datum,Prognoseparameter!$C$14,
IF(_WachstumsrateKURZ="Bundesweit",IF(D99&gt;_Datum,
         K98+AVERAGE(F95:F98)*(1+_WR)*(1-(K98-VLOOKUP('Erkrankungs- und Strukturdaten'!$C$45,$D:$M,$K$1,FALSE))/$B$16),
         K100-$B$23*F100),
IF(D99&gt;_Datum,K98+G99,IF(G100="",K100/(K100^(1/N99)),K100-G100)))),"")</f>
        <v>0</v>
      </c>
      <c r="L99" s="64">
        <f>I99/'Erkrankungs- und Strukturdaten'!$C$7</f>
        <v>54409.090909090904</v>
      </c>
      <c r="M99" s="65">
        <f t="shared" si="15"/>
        <v>1.5730637927572127E-3</v>
      </c>
      <c r="N99" s="163">
        <v>96</v>
      </c>
      <c r="O99" s="208">
        <f t="shared" si="12"/>
        <v>1</v>
      </c>
    </row>
    <row r="100" spans="1:15" x14ac:dyDescent="0.2">
      <c r="A100" s="179"/>
      <c r="B100" s="179"/>
      <c r="D100" s="86">
        <v>43954</v>
      </c>
      <c r="E100" s="64">
        <f t="shared" si="11"/>
        <v>22</v>
      </c>
      <c r="F100" s="101">
        <v>22</v>
      </c>
      <c r="G100" s="140"/>
      <c r="H100" s="64">
        <f>E100/'Erkrankungs- und Strukturdaten'!$C$7</f>
        <v>40</v>
      </c>
      <c r="I100" s="64">
        <f t="shared" si="14"/>
        <v>29947</v>
      </c>
      <c r="J100" s="64">
        <f t="shared" si="13"/>
        <v>0</v>
      </c>
      <c r="K100" s="101">
        <f>IFERROR(IF(D100=_Datum,Prognoseparameter!$C$14,
IF(_WachstumsrateKURZ="Bundesweit",IF(D100&gt;_Datum,
         K99+AVERAGE(F96:F99)*(1+_WR)*(1-(K99-VLOOKUP('Erkrankungs- und Strukturdaten'!$C$45,$D:$M,$K$1,FALSE))/$B$16),
         K101-$B$23*F101),
IF(D100&gt;_Datum,K99+G100,IF(G101="",K101/(K101^(1/N100)),K101-G101)))),"")</f>
        <v>0</v>
      </c>
      <c r="L100" s="64">
        <f>I100/'Erkrankungs- und Strukturdaten'!$C$7</f>
        <v>54449.090909090904</v>
      </c>
      <c r="M100" s="65">
        <f t="shared" si="15"/>
        <v>7.3517126148705094E-4</v>
      </c>
      <c r="N100" s="163">
        <v>97</v>
      </c>
      <c r="O100" s="208">
        <f t="shared" si="12"/>
        <v>1</v>
      </c>
    </row>
    <row r="101" spans="1:15" x14ac:dyDescent="0.2">
      <c r="A101" s="179"/>
      <c r="B101" s="179"/>
      <c r="D101" s="86">
        <v>43955</v>
      </c>
      <c r="E101" s="64">
        <f t="shared" si="11"/>
        <v>90</v>
      </c>
      <c r="F101" s="101">
        <v>90</v>
      </c>
      <c r="G101" s="140"/>
      <c r="H101" s="64">
        <f>E101/'Erkrankungs- und Strukturdaten'!$C$7</f>
        <v>163.63636363636363</v>
      </c>
      <c r="I101" s="64">
        <f t="shared" si="14"/>
        <v>30037</v>
      </c>
      <c r="J101" s="64">
        <f t="shared" si="13"/>
        <v>0</v>
      </c>
      <c r="K101" s="101">
        <f>IFERROR(IF(D101=_Datum,Prognoseparameter!$C$14,
IF(_WachstumsrateKURZ="Bundesweit",IF(D101&gt;_Datum,
         K100+AVERAGE(F97:F100)*(1+_WR)*(1-(K100-VLOOKUP('Erkrankungs- und Strukturdaten'!$C$45,$D:$M,$K$1,FALSE))/$B$16),
         K102-$B$23*F102),
IF(D101&gt;_Datum,K100+G101,IF(G102="",K102/(K102^(1/N101)),K102-G102)))),"")</f>
        <v>0</v>
      </c>
      <c r="L101" s="64">
        <f>I101/'Erkrankungs- und Strukturdaten'!$C$7</f>
        <v>54612.727272727265</v>
      </c>
      <c r="M101" s="65">
        <f t="shared" si="15"/>
        <v>3.0053093799044979E-3</v>
      </c>
      <c r="N101" s="163">
        <v>98</v>
      </c>
      <c r="O101" s="208">
        <f t="shared" si="12"/>
        <v>1</v>
      </c>
    </row>
    <row r="102" spans="1:15" x14ac:dyDescent="0.2">
      <c r="A102" s="179"/>
      <c r="B102" s="179"/>
      <c r="D102" s="86">
        <v>43956</v>
      </c>
      <c r="E102" s="64">
        <f t="shared" si="11"/>
        <v>73</v>
      </c>
      <c r="F102" s="101">
        <v>73</v>
      </c>
      <c r="G102" s="140"/>
      <c r="H102" s="64">
        <f>E102/'Erkrankungs- und Strukturdaten'!$C$7</f>
        <v>132.72727272727272</v>
      </c>
      <c r="I102" s="64">
        <f t="shared" si="14"/>
        <v>30110</v>
      </c>
      <c r="J102" s="64">
        <f t="shared" si="13"/>
        <v>0</v>
      </c>
      <c r="K102" s="101">
        <f>IFERROR(IF(D102=_Datum,Prognoseparameter!$C$14,
IF(_WachstumsrateKURZ="Bundesweit",IF(D102&gt;_Datum,
         K101+AVERAGE(F98:F101)*(1+_WR)*(1-(K101-VLOOKUP('Erkrankungs- und Strukturdaten'!$C$45,$D:$M,$K$1,FALSE))/$B$16),
         K103-$B$23*F103),
IF(D102&gt;_Datum,K101+G102,IF(G103="",K103/(K103^(1/N102)),K103-G103)))),"")</f>
        <v>0</v>
      </c>
      <c r="L102" s="64">
        <f>I102/'Erkrankungs- und Strukturdaten'!$C$7</f>
        <v>54745.454545454544</v>
      </c>
      <c r="M102" s="65">
        <f t="shared" si="15"/>
        <v>2.4303359190331925E-3</v>
      </c>
      <c r="N102" s="163">
        <v>99</v>
      </c>
      <c r="O102" s="208">
        <f t="shared" si="12"/>
        <v>1</v>
      </c>
    </row>
    <row r="103" spans="1:15" x14ac:dyDescent="0.2">
      <c r="A103" s="179"/>
      <c r="B103" s="179"/>
      <c r="D103" s="86">
        <v>43957</v>
      </c>
      <c r="E103" s="64">
        <f t="shared" si="11"/>
        <v>79</v>
      </c>
      <c r="F103" s="101">
        <v>79</v>
      </c>
      <c r="G103" s="140"/>
      <c r="H103" s="64">
        <f>E103/'Erkrankungs- und Strukturdaten'!$C$7</f>
        <v>143.63636363636363</v>
      </c>
      <c r="I103" s="64">
        <f t="shared" si="14"/>
        <v>30189</v>
      </c>
      <c r="J103" s="64">
        <f t="shared" si="13"/>
        <v>0</v>
      </c>
      <c r="K103" s="101">
        <f>IFERROR(IF(D103=_Datum,Prognoseparameter!$C$14,
IF(_WachstumsrateKURZ="Bundesweit",IF(D103&gt;_Datum,
         K102+AVERAGE(F99:F102)*(1+_WR)*(1-(K102-VLOOKUP('Erkrankungs- und Strukturdaten'!$C$45,$D:$M,$K$1,FALSE))/$B$16),
         K104-$B$23*F104),
IF(D103&gt;_Datum,K102+G103,IF(G104="",K104/(K104^(1/N103)),K104-G104)))),"")</f>
        <v>0</v>
      </c>
      <c r="L103" s="64">
        <f>I103/'Erkrankungs- und Strukturdaten'!$C$7</f>
        <v>54889.090909090904</v>
      </c>
      <c r="M103" s="65">
        <f t="shared" si="15"/>
        <v>2.6237130521421454E-3</v>
      </c>
      <c r="N103" s="163">
        <v>100</v>
      </c>
      <c r="O103" s="208">
        <f t="shared" si="12"/>
        <v>1</v>
      </c>
    </row>
    <row r="104" spans="1:15" x14ac:dyDescent="0.2">
      <c r="A104" s="179"/>
      <c r="B104" s="179"/>
      <c r="D104" s="86">
        <v>43958</v>
      </c>
      <c r="E104" s="64">
        <f t="shared" si="11"/>
        <v>46</v>
      </c>
      <c r="F104" s="101">
        <v>46</v>
      </c>
      <c r="G104" s="140"/>
      <c r="H104" s="64">
        <f>E104/'Erkrankungs- und Strukturdaten'!$C$7</f>
        <v>83.636363636363626</v>
      </c>
      <c r="I104" s="64">
        <f t="shared" si="14"/>
        <v>30235</v>
      </c>
      <c r="J104" s="64">
        <f t="shared" si="13"/>
        <v>0</v>
      </c>
      <c r="K104" s="101">
        <f>IFERROR(IF(D104=_Datum,Prognoseparameter!$C$14,
IF(_WachstumsrateKURZ="Bundesweit",IF(D104&gt;_Datum,
         K103+AVERAGE(F100:F103)*(1+_WR)*(1-(K103-VLOOKUP('Erkrankungs- und Strukturdaten'!$C$45,$D:$M,$K$1,FALSE))/$B$16),
         K105-$B$23*F105),
IF(D104&gt;_Datum,K103+G104,IF(G105="",K105/(K105^(1/N104)),K105-G105)))),"")</f>
        <v>0</v>
      </c>
      <c r="L104" s="64">
        <f>I104/'Erkrankungs- und Strukturdaten'!$C$7</f>
        <v>54972.727272727265</v>
      </c>
      <c r="M104" s="65">
        <f t="shared" si="15"/>
        <v>1.5237338103282652E-3</v>
      </c>
      <c r="N104" s="163">
        <v>101</v>
      </c>
      <c r="O104" s="208">
        <f t="shared" si="12"/>
        <v>1</v>
      </c>
    </row>
    <row r="105" spans="1:15" x14ac:dyDescent="0.2">
      <c r="A105" s="179"/>
      <c r="B105" s="179"/>
      <c r="D105" s="86">
        <v>43959</v>
      </c>
      <c r="E105" s="64">
        <f t="shared" si="11"/>
        <v>59</v>
      </c>
      <c r="F105" s="101">
        <v>59</v>
      </c>
      <c r="G105" s="140"/>
      <c r="H105" s="64">
        <f>E105/'Erkrankungs- und Strukturdaten'!$C$7</f>
        <v>107.27272727272727</v>
      </c>
      <c r="I105" s="64">
        <f t="shared" si="14"/>
        <v>30294</v>
      </c>
      <c r="J105" s="64">
        <f t="shared" si="13"/>
        <v>0</v>
      </c>
      <c r="K105" s="101">
        <f>IFERROR(IF(D105=_Datum,Prognoseparameter!$C$14,
IF(_WachstumsrateKURZ="Bundesweit",IF(D105&gt;_Datum,
         K104+AVERAGE(F101:F104)*(1+_WR)*(1-(K104-VLOOKUP('Erkrankungs- und Strukturdaten'!$C$45,$D:$M,$K$1,FALSE))/$B$16),
         K106-$B$23*F106),
IF(D105&gt;_Datum,K104+G105,IF(G106="",K106/(K106^(1/N105)),K106-G106)))),"")</f>
        <v>0</v>
      </c>
      <c r="L105" s="64">
        <f>I105/'Erkrankungs- und Strukturdaten'!$C$7</f>
        <v>55079.999999999993</v>
      </c>
      <c r="M105" s="65">
        <f t="shared" si="15"/>
        <v>1.9513808500082686E-3</v>
      </c>
      <c r="N105" s="163">
        <v>102</v>
      </c>
      <c r="O105" s="208">
        <f t="shared" si="12"/>
        <v>1</v>
      </c>
    </row>
    <row r="106" spans="1:15" x14ac:dyDescent="0.2">
      <c r="A106" s="179"/>
      <c r="B106" s="179"/>
      <c r="D106" s="86">
        <v>43960</v>
      </c>
      <c r="E106" s="64">
        <f t="shared" si="11"/>
        <v>39</v>
      </c>
      <c r="F106" s="101">
        <v>39</v>
      </c>
      <c r="G106" s="140"/>
      <c r="H106" s="64">
        <f>E106/'Erkrankungs- und Strukturdaten'!$C$7</f>
        <v>70.909090909090907</v>
      </c>
      <c r="I106" s="64">
        <f t="shared" si="14"/>
        <v>30333</v>
      </c>
      <c r="J106" s="64">
        <f t="shared" si="13"/>
        <v>0</v>
      </c>
      <c r="K106" s="101">
        <f>IFERROR(IF(D106=_Datum,Prognoseparameter!$C$14,
IF(_WachstumsrateKURZ="Bundesweit",IF(D106&gt;_Datum,
         K105+AVERAGE(F102:F105)*(1+_WR)*(1-(K105-VLOOKUP('Erkrankungs- und Strukturdaten'!$C$45,$D:$M,$K$1,FALSE))/$B$16),
         K107-$B$23*F107),
IF(D106&gt;_Datum,K105+G106,IF(G107="",K107/(K107^(1/N106)),K107-G107)))),"")</f>
        <v>0</v>
      </c>
      <c r="L106" s="64">
        <f>I106/'Erkrankungs- und Strukturdaten'!$C$7</f>
        <v>55150.909090909088</v>
      </c>
      <c r="M106" s="65">
        <f t="shared" si="15"/>
        <v>1.2873836403248168E-3</v>
      </c>
      <c r="N106" s="163">
        <v>103</v>
      </c>
      <c r="O106" s="208">
        <f t="shared" si="12"/>
        <v>1</v>
      </c>
    </row>
    <row r="107" spans="1:15" x14ac:dyDescent="0.2">
      <c r="A107" s="179"/>
      <c r="B107" s="179"/>
      <c r="D107" s="86">
        <v>43961</v>
      </c>
      <c r="E107" s="64">
        <f t="shared" si="11"/>
        <v>16</v>
      </c>
      <c r="F107" s="101">
        <v>16</v>
      </c>
      <c r="G107" s="140"/>
      <c r="H107" s="64">
        <f>E107/'Erkrankungs- und Strukturdaten'!$C$7</f>
        <v>29.09090909090909</v>
      </c>
      <c r="I107" s="64">
        <f t="shared" si="14"/>
        <v>30349</v>
      </c>
      <c r="J107" s="64">
        <f t="shared" si="13"/>
        <v>0</v>
      </c>
      <c r="K107" s="101">
        <f>IFERROR(IF(D107=_Datum,Prognoseparameter!$C$14,
IF(_WachstumsrateKURZ="Bundesweit",IF(D107&gt;_Datum,
         K106+AVERAGE(F103:F106)*(1+_WR)*(1-(K106-VLOOKUP('Erkrankungs- und Strukturdaten'!$C$45,$D:$M,$K$1,FALSE))/$B$16),
         K108-$B$23*F108),
IF(D107&gt;_Datum,K106+G107,IF(G108="",K108/(K108^(1/N107)),K108-G108)))),"")</f>
        <v>0</v>
      </c>
      <c r="L107" s="64">
        <f>I107/'Erkrankungs- und Strukturdaten'!$C$7</f>
        <v>55179.999999999993</v>
      </c>
      <c r="M107" s="65">
        <f t="shared" si="15"/>
        <v>5.274783239376257E-4</v>
      </c>
      <c r="N107" s="163">
        <v>104</v>
      </c>
      <c r="O107" s="208">
        <f t="shared" si="12"/>
        <v>1</v>
      </c>
    </row>
    <row r="108" spans="1:15" x14ac:dyDescent="0.2">
      <c r="A108" s="179"/>
      <c r="B108" s="179"/>
      <c r="D108" s="86">
        <v>43962</v>
      </c>
      <c r="E108" s="64">
        <f t="shared" si="11"/>
        <v>47</v>
      </c>
      <c r="F108" s="101">
        <v>47</v>
      </c>
      <c r="G108" s="140"/>
      <c r="H108" s="64">
        <f>E108/'Erkrankungs- und Strukturdaten'!$C$7</f>
        <v>85.454545454545453</v>
      </c>
      <c r="I108" s="64">
        <f t="shared" si="14"/>
        <v>30396</v>
      </c>
      <c r="J108" s="64">
        <f t="shared" si="13"/>
        <v>0</v>
      </c>
      <c r="K108" s="101">
        <f>IFERROR(IF(D108=_Datum,Prognoseparameter!$C$14,
IF(_WachstumsrateKURZ="Bundesweit",IF(D108&gt;_Datum,
         K107+AVERAGE(F104:F107)*(1+_WR)*(1-(K107-VLOOKUP('Erkrankungs- und Strukturdaten'!$C$45,$D:$M,$K$1,FALSE))/$B$16),
         K109-$B$23*F109),
IF(D108&gt;_Datum,K107+G108,IF(G109="",K109/(K109^(1/N108)),K109-G109)))),"")</f>
        <v>0</v>
      </c>
      <c r="L108" s="64">
        <f>I108/'Erkrankungs- und Strukturdaten'!$C$7</f>
        <v>55265.454545454544</v>
      </c>
      <c r="M108" s="65">
        <f t="shared" si="15"/>
        <v>1.5486506968928136E-3</v>
      </c>
      <c r="N108" s="163">
        <v>105</v>
      </c>
      <c r="O108" s="208">
        <f t="shared" si="12"/>
        <v>1</v>
      </c>
    </row>
    <row r="109" spans="1:15" x14ac:dyDescent="0.2">
      <c r="A109" s="179"/>
      <c r="B109" s="179"/>
      <c r="D109" s="86">
        <v>43963</v>
      </c>
      <c r="E109" s="64">
        <f t="shared" si="11"/>
        <v>42</v>
      </c>
      <c r="F109" s="101">
        <v>42</v>
      </c>
      <c r="G109" s="140"/>
      <c r="H109" s="64">
        <f>E109/'Erkrankungs- und Strukturdaten'!$C$7</f>
        <v>76.36363636363636</v>
      </c>
      <c r="I109" s="64">
        <f t="shared" si="14"/>
        <v>30438</v>
      </c>
      <c r="J109" s="64">
        <f t="shared" si="13"/>
        <v>0</v>
      </c>
      <c r="K109" s="101">
        <f>IFERROR(IF(D109=_Datum,Prognoseparameter!$C$14,
IF(_WachstumsrateKURZ="Bundesweit",IF(D109&gt;_Datum,
         K108+AVERAGE(F105:F108)*(1+_WR)*(1-(K108-VLOOKUP('Erkrankungs- und Strukturdaten'!$C$45,$D:$M,$K$1,FALSE))/$B$16),
         K110-$B$23*F110),
IF(D109&gt;_Datum,K108+G109,IF(G110="",K110/(K110^(1/N109)),K110-G110)))),"")</f>
        <v>0</v>
      </c>
      <c r="L109" s="64">
        <f>I109/'Erkrankungs- und Strukturdaten'!$C$7</f>
        <v>55341.818181818177</v>
      </c>
      <c r="M109" s="65">
        <f t="shared" si="15"/>
        <v>1.3817607579944729E-3</v>
      </c>
      <c r="N109" s="163">
        <v>106</v>
      </c>
      <c r="O109" s="208">
        <f t="shared" si="12"/>
        <v>1</v>
      </c>
    </row>
    <row r="110" spans="1:15" x14ac:dyDescent="0.2">
      <c r="A110" s="179"/>
      <c r="B110" s="179"/>
      <c r="D110" s="86">
        <v>43964</v>
      </c>
      <c r="E110" s="64">
        <f t="shared" si="11"/>
        <v>37</v>
      </c>
      <c r="F110" s="101">
        <v>37</v>
      </c>
      <c r="G110" s="140"/>
      <c r="H110" s="64">
        <f>E110/'Erkrankungs- und Strukturdaten'!$C$7</f>
        <v>67.272727272727266</v>
      </c>
      <c r="I110" s="64">
        <f t="shared" si="14"/>
        <v>30475</v>
      </c>
      <c r="J110" s="64">
        <f t="shared" si="13"/>
        <v>0</v>
      </c>
      <c r="K110" s="101">
        <f>IFERROR(IF(D110=_Datum,Prognoseparameter!$C$14,
IF(_WachstumsrateKURZ="Bundesweit",IF(D110&gt;_Datum,
         K109+AVERAGE(F106:F109)*(1+_WR)*(1-(K109-VLOOKUP('Erkrankungs- und Strukturdaten'!$C$45,$D:$M,$K$1,FALSE))/$B$16),
         K111-$B$23*F111),
IF(D110&gt;_Datum,K109+G110,IF(G111="",K111/(K111^(1/N110)),K111-G111)))),"")</f>
        <v>0</v>
      </c>
      <c r="L110" s="64">
        <f>I110/'Erkrankungs- und Strukturdaten'!$C$7</f>
        <v>55409.090909090904</v>
      </c>
      <c r="M110" s="65">
        <f t="shared" si="15"/>
        <v>1.21558578093173E-3</v>
      </c>
      <c r="N110" s="163">
        <v>107</v>
      </c>
      <c r="O110" s="208">
        <f t="shared" si="12"/>
        <v>1</v>
      </c>
    </row>
    <row r="111" spans="1:15" x14ac:dyDescent="0.2">
      <c r="A111" s="179"/>
      <c r="B111" s="179"/>
      <c r="D111" s="86">
        <v>43965</v>
      </c>
      <c r="E111" s="64">
        <f t="shared" si="11"/>
        <v>37</v>
      </c>
      <c r="F111" s="101">
        <v>37</v>
      </c>
      <c r="G111" s="140"/>
      <c r="H111" s="64">
        <f>E111/'Erkrankungs- und Strukturdaten'!$C$7</f>
        <v>67.272727272727266</v>
      </c>
      <c r="I111" s="64">
        <f t="shared" si="14"/>
        <v>30512</v>
      </c>
      <c r="J111" s="64">
        <f t="shared" si="13"/>
        <v>0</v>
      </c>
      <c r="K111" s="101">
        <f>IFERROR(IF(D111=_Datum,Prognoseparameter!$C$14,
IF(_WachstumsrateKURZ="Bundesweit",IF(D111&gt;_Datum,
         K110+AVERAGE(F107:F110)*(1+_WR)*(1-(K110-VLOOKUP('Erkrankungs- und Strukturdaten'!$C$45,$D:$M,$K$1,FALSE))/$B$16),
         K112-$B$23*F112),
IF(D111&gt;_Datum,K110+G111,IF(G112="",K112/(K112^(1/N111)),K112-G112)))),"")</f>
        <v>0</v>
      </c>
      <c r="L111" s="64">
        <f>I111/'Erkrankungs- und Strukturdaten'!$C$7</f>
        <v>55476.363636363632</v>
      </c>
      <c r="M111" s="65">
        <f t="shared" si="15"/>
        <v>1.214109926168991E-3</v>
      </c>
      <c r="N111" s="163">
        <v>108</v>
      </c>
      <c r="O111" s="208">
        <f t="shared" si="12"/>
        <v>1</v>
      </c>
    </row>
    <row r="112" spans="1:15" x14ac:dyDescent="0.2">
      <c r="A112" s="179"/>
      <c r="B112" s="179"/>
      <c r="D112" s="86">
        <v>43966</v>
      </c>
      <c r="E112" s="64">
        <f t="shared" si="11"/>
        <v>41</v>
      </c>
      <c r="F112" s="101">
        <v>41</v>
      </c>
      <c r="G112" s="140"/>
      <c r="H112" s="64">
        <f>E112/'Erkrankungs- und Strukturdaten'!$C$7</f>
        <v>74.545454545454533</v>
      </c>
      <c r="I112" s="64">
        <f t="shared" si="14"/>
        <v>30553</v>
      </c>
      <c r="J112" s="64">
        <f t="shared" si="13"/>
        <v>0</v>
      </c>
      <c r="K112" s="101">
        <f>IFERROR(IF(D112=_Datum,Prognoseparameter!$C$14,
IF(_WachstumsrateKURZ="Bundesweit",IF(D112&gt;_Datum,
         K111+AVERAGE(F108:F111)*(1+_WR)*(1-(K111-VLOOKUP('Erkrankungs- und Strukturdaten'!$C$45,$D:$M,$K$1,FALSE))/$B$16),
         K113-$B$23*F113),
IF(D112&gt;_Datum,K111+G112,IF(G113="",K113/(K113^(1/N112)),K113-G113)))),"")</f>
        <v>0</v>
      </c>
      <c r="L112" s="64">
        <f>I112/'Erkrankungs- und Strukturdaten'!$C$7</f>
        <v>55550.909090909088</v>
      </c>
      <c r="M112" s="65">
        <f t="shared" si="15"/>
        <v>1.3437336130047194E-3</v>
      </c>
      <c r="N112" s="163">
        <v>109</v>
      </c>
      <c r="O112" s="208">
        <f t="shared" si="12"/>
        <v>1</v>
      </c>
    </row>
    <row r="113" spans="1:15" x14ac:dyDescent="0.2">
      <c r="A113" s="179"/>
      <c r="B113" s="179"/>
      <c r="D113" s="86">
        <v>43967</v>
      </c>
      <c r="E113" s="64">
        <f t="shared" si="11"/>
        <v>15</v>
      </c>
      <c r="F113" s="101">
        <v>15</v>
      </c>
      <c r="G113" s="140"/>
      <c r="H113" s="64">
        <f>E113/'Erkrankungs- und Strukturdaten'!$C$7</f>
        <v>27.27272727272727</v>
      </c>
      <c r="I113" s="64">
        <f t="shared" si="14"/>
        <v>30568</v>
      </c>
      <c r="J113" s="64">
        <f t="shared" si="13"/>
        <v>0</v>
      </c>
      <c r="K113" s="101">
        <f>IFERROR(IF(D113=_Datum,Prognoseparameter!$C$14,
IF(_WachstumsrateKURZ="Bundesweit",IF(D113&gt;_Datum,
         K112+AVERAGE(F109:F112)*(1+_WR)*(1-(K112-VLOOKUP('Erkrankungs- und Strukturdaten'!$C$45,$D:$M,$K$1,FALSE))/$B$16),
         K114-$B$23*F114),
IF(D113&gt;_Datum,K112+G113,IF(G114="",K114/(K114^(1/N113)),K114-G114)))),"")</f>
        <v>0</v>
      </c>
      <c r="L113" s="64">
        <f>I113/'Erkrankungs- und Strukturdaten'!$C$7</f>
        <v>55578.181818181816</v>
      </c>
      <c r="M113" s="65">
        <f t="shared" si="15"/>
        <v>4.909501521945472E-4</v>
      </c>
      <c r="N113" s="163">
        <v>110</v>
      </c>
      <c r="O113" s="208">
        <f t="shared" si="12"/>
        <v>1</v>
      </c>
    </row>
    <row r="114" spans="1:15" x14ac:dyDescent="0.2">
      <c r="A114" s="179"/>
      <c r="B114" s="179"/>
      <c r="D114" s="86">
        <v>43968</v>
      </c>
      <c r="E114" s="64">
        <f t="shared" si="11"/>
        <v>12</v>
      </c>
      <c r="F114" s="101">
        <v>12</v>
      </c>
      <c r="G114" s="140"/>
      <c r="H114" s="64">
        <f>E114/'Erkrankungs- und Strukturdaten'!$C$7</f>
        <v>21.818181818181817</v>
      </c>
      <c r="I114" s="64">
        <f t="shared" si="14"/>
        <v>30580</v>
      </c>
      <c r="J114" s="64">
        <f t="shared" si="13"/>
        <v>0</v>
      </c>
      <c r="K114" s="101">
        <f>IFERROR(IF(D114=_Datum,Prognoseparameter!$C$14,
IF(_WachstumsrateKURZ="Bundesweit",IF(D114&gt;_Datum,
         K113+AVERAGE(F110:F113)*(1+_WR)*(1-(K113-VLOOKUP('Erkrankungs- und Strukturdaten'!$C$45,$D:$M,$K$1,FALSE))/$B$16),
         K115-$B$23*F115),
IF(D114&gt;_Datum,K113+G114,IF(G115="",K115/(K115^(1/N114)),K115-G115)))),"")</f>
        <v>0</v>
      </c>
      <c r="L114" s="64">
        <f>I114/'Erkrankungs- und Strukturdaten'!$C$7</f>
        <v>55599.999999999993</v>
      </c>
      <c r="M114" s="65">
        <f t="shared" si="15"/>
        <v>3.925673907354096E-4</v>
      </c>
      <c r="N114" s="163">
        <v>111</v>
      </c>
      <c r="O114" s="208">
        <f t="shared" si="12"/>
        <v>1</v>
      </c>
    </row>
    <row r="115" spans="1:15" x14ac:dyDescent="0.2">
      <c r="A115" s="179"/>
      <c r="B115" s="179"/>
      <c r="D115" s="86">
        <v>43969</v>
      </c>
      <c r="E115" s="64">
        <f t="shared" si="11"/>
        <v>34</v>
      </c>
      <c r="F115" s="101">
        <v>34</v>
      </c>
      <c r="G115" s="140"/>
      <c r="H115" s="64">
        <f>E115/'Erkrankungs- und Strukturdaten'!$C$7</f>
        <v>61.818181818181813</v>
      </c>
      <c r="I115" s="64">
        <f t="shared" si="14"/>
        <v>30614</v>
      </c>
      <c r="J115" s="64">
        <f t="shared" si="13"/>
        <v>0</v>
      </c>
      <c r="K115" s="101">
        <f>IFERROR(IF(D115=_Datum,Prognoseparameter!$C$14,
IF(_WachstumsrateKURZ="Bundesweit",IF(D115&gt;_Datum,
         K114+AVERAGE(F111:F114)*(1+_WR)*(1-(K114-VLOOKUP('Erkrankungs- und Strukturdaten'!$C$45,$D:$M,$K$1,FALSE))/$B$16),
         K116-$B$23*F116),
IF(D115&gt;_Datum,K114+G115,IF(G116="",K116/(K116^(1/N115)),K116-G116)))),"")</f>
        <v>0</v>
      </c>
      <c r="L115" s="64">
        <f>I115/'Erkrankungs- und Strukturdaten'!$C$7</f>
        <v>55661.818181818177</v>
      </c>
      <c r="M115" s="65">
        <f t="shared" si="15"/>
        <v>1.1118378024852845E-3</v>
      </c>
      <c r="N115" s="163">
        <v>112</v>
      </c>
      <c r="O115" s="208">
        <f t="shared" si="12"/>
        <v>1</v>
      </c>
    </row>
    <row r="116" spans="1:15" x14ac:dyDescent="0.2">
      <c r="A116" s="179"/>
      <c r="B116" s="179"/>
      <c r="D116" s="86">
        <v>43970</v>
      </c>
      <c r="E116" s="64">
        <f t="shared" si="11"/>
        <v>36</v>
      </c>
      <c r="F116" s="101">
        <v>36</v>
      </c>
      <c r="G116" s="140"/>
      <c r="H116" s="64">
        <f>E116/'Erkrankungs- und Strukturdaten'!$C$7</f>
        <v>65.454545454545453</v>
      </c>
      <c r="I116" s="64">
        <f t="shared" si="14"/>
        <v>30650</v>
      </c>
      <c r="J116" s="64">
        <f t="shared" si="13"/>
        <v>0</v>
      </c>
      <c r="K116" s="101">
        <f>IFERROR(IF(D116=_Datum,Prognoseparameter!$C$14,
IF(_WachstumsrateKURZ="Bundesweit",IF(D116&gt;_Datum,
         K115+AVERAGE(F112:F115)*(1+_WR)*(1-(K115-VLOOKUP('Erkrankungs- und Strukturdaten'!$C$45,$D:$M,$K$1,FALSE))/$B$16),
         K117-$B$23*F117),
IF(D116&gt;_Datum,K115+G116,IF(G117="",K117/(K117^(1/N116)),K117-G117)))),"")</f>
        <v>0</v>
      </c>
      <c r="L116" s="64">
        <f>I116/'Erkrankungs- und Strukturdaten'!$C$7</f>
        <v>55727.272727272721</v>
      </c>
      <c r="M116" s="65">
        <f t="shared" si="15"/>
        <v>1.1759325798654211E-3</v>
      </c>
      <c r="N116" s="163">
        <v>113</v>
      </c>
      <c r="O116" s="208">
        <f t="shared" si="12"/>
        <v>1</v>
      </c>
    </row>
    <row r="117" spans="1:15" x14ac:dyDescent="0.2">
      <c r="A117" s="179"/>
      <c r="B117" s="179"/>
      <c r="D117" s="86">
        <v>43971</v>
      </c>
      <c r="E117" s="64">
        <f t="shared" si="11"/>
        <v>29</v>
      </c>
      <c r="F117" s="101">
        <v>29</v>
      </c>
      <c r="G117" s="140"/>
      <c r="H117" s="64">
        <f>E117/'Erkrankungs- und Strukturdaten'!$C$7</f>
        <v>52.72727272727272</v>
      </c>
      <c r="I117" s="64">
        <f t="shared" si="14"/>
        <v>30679</v>
      </c>
      <c r="J117" s="64">
        <f t="shared" si="13"/>
        <v>0</v>
      </c>
      <c r="K117" s="101">
        <f>IFERROR(IF(D117=_Datum,Prognoseparameter!$C$14,
IF(_WachstumsrateKURZ="Bundesweit",IF(D117&gt;_Datum,
         K116+AVERAGE(F113:F116)*(1+_WR)*(1-(K116-VLOOKUP('Erkrankungs- und Strukturdaten'!$C$45,$D:$M,$K$1,FALSE))/$B$16),
         K118-$B$23*F118),
IF(D117&gt;_Datum,K116+G117,IF(G118="",K118/(K118^(1/N117)),K118-G118)))),"")</f>
        <v>0</v>
      </c>
      <c r="L117" s="64">
        <f>I117/'Erkrankungs- und Strukturdaten'!$C$7</f>
        <v>55779.999999999993</v>
      </c>
      <c r="M117" s="65">
        <f t="shared" si="15"/>
        <v>9.4616639477977161E-4</v>
      </c>
      <c r="N117" s="163">
        <v>114</v>
      </c>
      <c r="O117" s="208">
        <f t="shared" si="12"/>
        <v>1</v>
      </c>
    </row>
    <row r="118" spans="1:15" x14ac:dyDescent="0.2">
      <c r="A118" s="179"/>
      <c r="B118" s="179"/>
      <c r="D118" s="86">
        <v>43972</v>
      </c>
      <c r="E118" s="64">
        <f t="shared" si="11"/>
        <v>11</v>
      </c>
      <c r="F118" s="101">
        <v>11</v>
      </c>
      <c r="G118" s="140"/>
      <c r="H118" s="64">
        <f>E118/'Erkrankungs- und Strukturdaten'!$C$7</f>
        <v>20</v>
      </c>
      <c r="I118" s="64">
        <f t="shared" si="14"/>
        <v>30690</v>
      </c>
      <c r="J118" s="64">
        <f t="shared" si="13"/>
        <v>0</v>
      </c>
      <c r="K118" s="101">
        <f>IFERROR(IF(D118=_Datum,Prognoseparameter!$C$14,
IF(_WachstumsrateKURZ="Bundesweit",IF(D118&gt;_Datum,
         K117+AVERAGE(F114:F117)*(1+_WR)*(1-(K117-VLOOKUP('Erkrankungs- und Strukturdaten'!$C$45,$D:$M,$K$1,FALSE))/$B$16),
         K119-$B$23*F119),
IF(D118&gt;_Datum,K117+G118,IF(G119="",K119/(K119^(1/N118)),K119-G119)))),"")</f>
        <v>0</v>
      </c>
      <c r="L118" s="64">
        <f>I118/'Erkrankungs- und Strukturdaten'!$C$7</f>
        <v>55799.999999999993</v>
      </c>
      <c r="M118" s="65">
        <f t="shared" si="15"/>
        <v>3.5855145213338117E-4</v>
      </c>
      <c r="N118" s="163">
        <v>115</v>
      </c>
      <c r="O118" s="208">
        <f t="shared" si="12"/>
        <v>1</v>
      </c>
    </row>
    <row r="119" spans="1:15" x14ac:dyDescent="0.2">
      <c r="A119" s="179"/>
      <c r="B119" s="179"/>
      <c r="D119" s="86">
        <v>43973</v>
      </c>
      <c r="E119" s="64">
        <f t="shared" si="11"/>
        <v>20</v>
      </c>
      <c r="F119" s="101">
        <v>20</v>
      </c>
      <c r="G119" s="140"/>
      <c r="H119" s="64">
        <f>E119/'Erkrankungs- und Strukturdaten'!$C$7</f>
        <v>36.36363636363636</v>
      </c>
      <c r="I119" s="64">
        <f t="shared" si="14"/>
        <v>30710</v>
      </c>
      <c r="J119" s="64">
        <f t="shared" si="13"/>
        <v>0</v>
      </c>
      <c r="K119" s="101">
        <f>IFERROR(IF(D119=_Datum,Prognoseparameter!$C$14,
IF(_WachstumsrateKURZ="Bundesweit",IF(D119&gt;_Datum,
         K118+AVERAGE(F115:F118)*(1+_WR)*(1-(K118-VLOOKUP('Erkrankungs- und Strukturdaten'!$C$45,$D:$M,$K$1,FALSE))/$B$16),
         K120-$B$23*F120),
IF(D119&gt;_Datum,K118+G119,IF(G120="",K120/(K120^(1/N119)),K120-G120)))),"")</f>
        <v>0</v>
      </c>
      <c r="L119" s="64">
        <f>I119/'Erkrankungs- und Strukturdaten'!$C$7</f>
        <v>55836.363636363632</v>
      </c>
      <c r="M119" s="65">
        <f t="shared" si="15"/>
        <v>6.5167807103290974E-4</v>
      </c>
      <c r="N119" s="163">
        <v>116</v>
      </c>
      <c r="O119" s="208">
        <f t="shared" si="12"/>
        <v>1</v>
      </c>
    </row>
    <row r="120" spans="1:15" x14ac:dyDescent="0.2">
      <c r="A120" s="179"/>
      <c r="B120" s="179"/>
      <c r="D120" s="86">
        <v>43974</v>
      </c>
      <c r="E120" s="64">
        <f t="shared" si="11"/>
        <v>14</v>
      </c>
      <c r="F120" s="101">
        <v>14</v>
      </c>
      <c r="G120" s="140"/>
      <c r="H120" s="64">
        <f>E120/'Erkrankungs- und Strukturdaten'!$C$7</f>
        <v>25.454545454545453</v>
      </c>
      <c r="I120" s="64">
        <f t="shared" si="14"/>
        <v>30724</v>
      </c>
      <c r="J120" s="64">
        <f t="shared" si="13"/>
        <v>0</v>
      </c>
      <c r="K120" s="101">
        <f>IFERROR(IF(D120=_Datum,Prognoseparameter!$C$14,
IF(_WachstumsrateKURZ="Bundesweit",IF(D120&gt;_Datum,
         K119+AVERAGE(F116:F119)*(1+_WR)*(1-(K119-VLOOKUP('Erkrankungs- und Strukturdaten'!$C$45,$D:$M,$K$1,FALSE))/$B$16),
         K121-$B$23*F121),
IF(D120&gt;_Datum,K119+G120,IF(G121="",K121/(K121^(1/N120)),K121-G121)))),"")</f>
        <v>0</v>
      </c>
      <c r="L120" s="64">
        <f>I120/'Erkrankungs- und Strukturdaten'!$C$7</f>
        <v>55861.818181818177</v>
      </c>
      <c r="M120" s="65">
        <f t="shared" si="15"/>
        <v>4.5587756431129923E-4</v>
      </c>
      <c r="N120" s="163">
        <v>117</v>
      </c>
      <c r="O120" s="208">
        <f t="shared" si="12"/>
        <v>1</v>
      </c>
    </row>
    <row r="121" spans="1:15" x14ac:dyDescent="0.2">
      <c r="A121" s="179"/>
      <c r="B121" s="179"/>
      <c r="D121" s="86">
        <v>43975</v>
      </c>
      <c r="E121" s="64">
        <f t="shared" si="11"/>
        <v>10</v>
      </c>
      <c r="F121" s="101">
        <v>10</v>
      </c>
      <c r="G121" s="140"/>
      <c r="H121" s="64">
        <f>E121/'Erkrankungs- und Strukturdaten'!$C$7</f>
        <v>18.18181818181818</v>
      </c>
      <c r="I121" s="64">
        <f t="shared" si="14"/>
        <v>30734</v>
      </c>
      <c r="J121" s="64">
        <f t="shared" si="13"/>
        <v>0</v>
      </c>
      <c r="K121" s="101">
        <f>IFERROR(IF(D121=_Datum,Prognoseparameter!$C$14,
IF(_WachstumsrateKURZ="Bundesweit",IF(D121&gt;_Datum,
         K120+AVERAGE(F117:F120)*(1+_WR)*(1-(K120-VLOOKUP('Erkrankungs- und Strukturdaten'!$C$45,$D:$M,$K$1,FALSE))/$B$16),
         K122-$B$23*F122),
IF(D121&gt;_Datum,K120+G121,IF(G122="",K122/(K122^(1/N121)),K122-G122)))),"")</f>
        <v>0</v>
      </c>
      <c r="L121" s="64">
        <f>I121/'Erkrankungs- und Strukturdaten'!$C$7</f>
        <v>55879.999999999993</v>
      </c>
      <c r="M121" s="65">
        <f t="shared" si="15"/>
        <v>3.254784533263898E-4</v>
      </c>
      <c r="N121" s="163">
        <v>118</v>
      </c>
      <c r="O121" s="208">
        <f t="shared" si="12"/>
        <v>1</v>
      </c>
    </row>
    <row r="122" spans="1:15" x14ac:dyDescent="0.2">
      <c r="A122" s="179"/>
      <c r="B122" s="179"/>
      <c r="D122" s="86">
        <v>43976</v>
      </c>
      <c r="E122" s="64">
        <f t="shared" si="11"/>
        <v>15</v>
      </c>
      <c r="F122" s="101">
        <v>15</v>
      </c>
      <c r="G122" s="140"/>
      <c r="H122" s="64">
        <f>E122/'Erkrankungs- und Strukturdaten'!$C$7</f>
        <v>27.27272727272727</v>
      </c>
      <c r="I122" s="64">
        <f t="shared" si="14"/>
        <v>30749</v>
      </c>
      <c r="J122" s="64">
        <f t="shared" si="13"/>
        <v>0</v>
      </c>
      <c r="K122" s="101">
        <f>IFERROR(IF(D122=_Datum,Prognoseparameter!$C$14,
IF(_WachstumsrateKURZ="Bundesweit",IF(D122&gt;_Datum,
         K121+AVERAGE(F118:F121)*(1+_WR)*(1-(K121-VLOOKUP('Erkrankungs- und Strukturdaten'!$C$45,$D:$M,$K$1,FALSE))/$B$16),
         K123-$B$23*F123),
IF(D122&gt;_Datum,K121+G122,IF(G123="",K123/(K123^(1/N122)),K123-G123)))),"")</f>
        <v>0</v>
      </c>
      <c r="L122" s="64">
        <f>I122/'Erkrankungs- und Strukturdaten'!$C$7</f>
        <v>55907.272727272721</v>
      </c>
      <c r="M122" s="65">
        <f t="shared" si="15"/>
        <v>4.8805882735732413E-4</v>
      </c>
      <c r="N122" s="163">
        <v>119</v>
      </c>
      <c r="O122" s="208">
        <f t="shared" si="12"/>
        <v>1</v>
      </c>
    </row>
    <row r="123" spans="1:15" x14ac:dyDescent="0.2">
      <c r="A123" s="179"/>
      <c r="B123" s="179"/>
      <c r="D123" s="86">
        <v>43977</v>
      </c>
      <c r="E123" s="64">
        <f t="shared" si="11"/>
        <v>18</v>
      </c>
      <c r="F123" s="101">
        <v>18</v>
      </c>
      <c r="G123" s="140"/>
      <c r="H123" s="64">
        <f>E123/'Erkrankungs- und Strukturdaten'!$C$7</f>
        <v>32.727272727272727</v>
      </c>
      <c r="I123" s="64">
        <f t="shared" si="14"/>
        <v>30767</v>
      </c>
      <c r="J123" s="64">
        <f t="shared" si="13"/>
        <v>0</v>
      </c>
      <c r="K123" s="101">
        <f>IFERROR(IF(D123=_Datum,Prognoseparameter!$C$14,
IF(_WachstumsrateKURZ="Bundesweit",IF(D123&gt;_Datum,
         K122+AVERAGE(F119:F122)*(1+_WR)*(1-(K122-VLOOKUP('Erkrankungs- und Strukturdaten'!$C$45,$D:$M,$K$1,FALSE))/$B$16),
         K124-$B$23*F124),
IF(D123&gt;_Datum,K122+G123,IF(G124="",K124/(K124^(1/N123)),K124-G124)))),"")</f>
        <v>0</v>
      </c>
      <c r="L123" s="64">
        <f>I123/'Erkrankungs- und Strukturdaten'!$C$7</f>
        <v>55939.999999999993</v>
      </c>
      <c r="M123" s="65">
        <f t="shared" si="15"/>
        <v>5.8538489056554686E-4</v>
      </c>
      <c r="N123" s="163">
        <v>120</v>
      </c>
      <c r="O123" s="208">
        <f t="shared" si="12"/>
        <v>1</v>
      </c>
    </row>
    <row r="124" spans="1:15" x14ac:dyDescent="0.2">
      <c r="A124" s="179"/>
      <c r="B124" s="179"/>
      <c r="D124" s="86">
        <v>43978</v>
      </c>
      <c r="E124" s="64">
        <f t="shared" si="11"/>
        <v>25</v>
      </c>
      <c r="F124" s="101">
        <v>25</v>
      </c>
      <c r="G124" s="140"/>
      <c r="H124" s="64">
        <f>E124/'Erkrankungs- und Strukturdaten'!$C$7</f>
        <v>45.454545454545453</v>
      </c>
      <c r="I124" s="64">
        <f t="shared" si="14"/>
        <v>30792</v>
      </c>
      <c r="J124" s="64">
        <f t="shared" si="13"/>
        <v>0</v>
      </c>
      <c r="K124" s="101">
        <f>IFERROR(IF(D124=_Datum,Prognoseparameter!$C$14,
IF(_WachstumsrateKURZ="Bundesweit",IF(D124&gt;_Datum,
         K123+AVERAGE(F120:F123)*(1+_WR)*(1-(K123-VLOOKUP('Erkrankungs- und Strukturdaten'!$C$45,$D:$M,$K$1,FALSE))/$B$16),
         K125-$B$23*F125),
IF(D124&gt;_Datum,K123+G124,IF(G125="",K125/(K125^(1/N124)),K125-G125)))),"")</f>
        <v>0</v>
      </c>
      <c r="L124" s="64">
        <f>I124/'Erkrankungs- und Strukturdaten'!$C$7</f>
        <v>55985.454545454544</v>
      </c>
      <c r="M124" s="65">
        <f t="shared" si="15"/>
        <v>8.1255891052101276E-4</v>
      </c>
      <c r="N124" s="163">
        <v>121</v>
      </c>
      <c r="O124" s="208">
        <f t="shared" si="12"/>
        <v>1</v>
      </c>
    </row>
    <row r="125" spans="1:15" x14ac:dyDescent="0.2">
      <c r="A125" s="179"/>
      <c r="B125" s="179"/>
      <c r="D125" s="86">
        <v>43979</v>
      </c>
      <c r="E125" s="64">
        <f t="shared" si="11"/>
        <v>30</v>
      </c>
      <c r="F125" s="101">
        <v>30</v>
      </c>
      <c r="G125" s="140"/>
      <c r="H125" s="64">
        <f>E125/'Erkrankungs- und Strukturdaten'!$C$7</f>
        <v>54.54545454545454</v>
      </c>
      <c r="I125" s="64">
        <f t="shared" si="14"/>
        <v>30822</v>
      </c>
      <c r="J125" s="64">
        <f t="shared" si="13"/>
        <v>0</v>
      </c>
      <c r="K125" s="101">
        <f>IFERROR(IF(D125=_Datum,Prognoseparameter!$C$14,
IF(_WachstumsrateKURZ="Bundesweit",IF(D125&gt;_Datum,
         K124+AVERAGE(F121:F124)*(1+_WR)*(1-(K124-VLOOKUP('Erkrankungs- und Strukturdaten'!$C$45,$D:$M,$K$1,FALSE))/$B$16),
         K126-$B$23*F126),
IF(D125&gt;_Datum,K124+G125,IF(G126="",K126/(K126^(1/N125)),K126-G126)))),"")</f>
        <v>0</v>
      </c>
      <c r="L125" s="64">
        <f>I125/'Erkrankungs- und Strukturdaten'!$C$7</f>
        <v>56039.999999999993</v>
      </c>
      <c r="M125" s="65">
        <f t="shared" si="15"/>
        <v>9.7427903351519874E-4</v>
      </c>
      <c r="N125" s="163">
        <v>122</v>
      </c>
      <c r="O125" s="208">
        <f t="shared" si="12"/>
        <v>1</v>
      </c>
    </row>
    <row r="126" spans="1:15" x14ac:dyDescent="0.2">
      <c r="A126" s="179"/>
      <c r="B126" s="179"/>
      <c r="D126" s="86">
        <v>43980</v>
      </c>
      <c r="E126" s="64">
        <f t="shared" si="11"/>
        <v>21</v>
      </c>
      <c r="F126" s="101">
        <v>21</v>
      </c>
      <c r="G126" s="140"/>
      <c r="H126" s="64">
        <f>E126/'Erkrankungs- und Strukturdaten'!$C$7</f>
        <v>38.18181818181818</v>
      </c>
      <c r="I126" s="64">
        <f t="shared" si="14"/>
        <v>30843</v>
      </c>
      <c r="J126" s="64">
        <f t="shared" si="13"/>
        <v>0</v>
      </c>
      <c r="K126" s="101">
        <f>IFERROR(IF(D126=_Datum,Prognoseparameter!$C$14,
IF(_WachstumsrateKURZ="Bundesweit",IF(D126&gt;_Datum,
         K125+AVERAGE(F122:F125)*(1+_WR)*(1-(K125-VLOOKUP('Erkrankungs- und Strukturdaten'!$C$45,$D:$M,$K$1,FALSE))/$B$16),
         K127-$B$23*F127),
IF(D126&gt;_Datum,K125+G126,IF(G127="",K127/(K127^(1/N126)),K127-G127)))),"")</f>
        <v>0</v>
      </c>
      <c r="L126" s="64">
        <f>I126/'Erkrankungs- und Strukturdaten'!$C$7</f>
        <v>56078.181818181816</v>
      </c>
      <c r="M126" s="65">
        <f t="shared" si="15"/>
        <v>6.8133151644928945E-4</v>
      </c>
      <c r="N126" s="163">
        <v>123</v>
      </c>
      <c r="O126" s="208">
        <f t="shared" si="12"/>
        <v>1</v>
      </c>
    </row>
    <row r="127" spans="1:15" x14ac:dyDescent="0.2">
      <c r="A127" s="179"/>
      <c r="B127" s="179"/>
      <c r="D127" s="86">
        <v>43981</v>
      </c>
      <c r="E127" s="64">
        <f t="shared" si="11"/>
        <v>10</v>
      </c>
      <c r="F127" s="101">
        <v>10</v>
      </c>
      <c r="G127" s="140"/>
      <c r="H127" s="64">
        <f>E127/'Erkrankungs- und Strukturdaten'!$C$7</f>
        <v>18.18181818181818</v>
      </c>
      <c r="I127" s="64">
        <f t="shared" si="14"/>
        <v>30853</v>
      </c>
      <c r="J127" s="64">
        <f t="shared" si="13"/>
        <v>0</v>
      </c>
      <c r="K127" s="101">
        <f>IFERROR(IF(D127=_Datum,Prognoseparameter!$C$14,
IF(_WachstumsrateKURZ="Bundesweit",IF(D127&gt;_Datum,
         K126+AVERAGE(F123:F126)*(1+_WR)*(1-(K126-VLOOKUP('Erkrankungs- und Strukturdaten'!$C$45,$D:$M,$K$1,FALSE))/$B$16),
         K128-$B$23*F128),
IF(D127&gt;_Datum,K126+G127,IF(G128="",K128/(K128^(1/N127)),K128-G128)))),"")</f>
        <v>0</v>
      </c>
      <c r="L127" s="64">
        <f>I127/'Erkrankungs- und Strukturdaten'!$C$7</f>
        <v>56096.363636363632</v>
      </c>
      <c r="M127" s="65">
        <f t="shared" si="15"/>
        <v>3.2422267613396879E-4</v>
      </c>
      <c r="N127" s="163">
        <v>124</v>
      </c>
      <c r="O127" s="208">
        <f t="shared" si="12"/>
        <v>1</v>
      </c>
    </row>
    <row r="128" spans="1:15" x14ac:dyDescent="0.2">
      <c r="A128" s="179"/>
      <c r="B128" s="179"/>
      <c r="D128" s="86">
        <v>43982</v>
      </c>
      <c r="E128" s="64">
        <f t="shared" si="11"/>
        <v>7</v>
      </c>
      <c r="F128" s="101">
        <v>7</v>
      </c>
      <c r="G128" s="140"/>
      <c r="H128" s="64">
        <f>E128/'Erkrankungs- und Strukturdaten'!$C$7</f>
        <v>12.727272727272727</v>
      </c>
      <c r="I128" s="64">
        <f t="shared" si="14"/>
        <v>30860</v>
      </c>
      <c r="J128" s="64">
        <f t="shared" si="13"/>
        <v>0</v>
      </c>
      <c r="K128" s="101">
        <f>IFERROR(IF(D128=_Datum,Prognoseparameter!$C$14,
IF(_WachstumsrateKURZ="Bundesweit",IF(D128&gt;_Datum,
         K127+AVERAGE(F124:F127)*(1+_WR)*(1-(K127-VLOOKUP('Erkrankungs- und Strukturdaten'!$C$45,$D:$M,$K$1,FALSE))/$B$16),
         K129-$B$23*F129),
IF(D128&gt;_Datum,K127+G128,IF(G129="",K129/(K129^(1/N128)),K129-G129)))),"")</f>
        <v>0</v>
      </c>
      <c r="L128" s="64">
        <f>I128/'Erkrankungs- und Strukturdaten'!$C$7</f>
        <v>56109.090909090904</v>
      </c>
      <c r="M128" s="65">
        <f t="shared" si="15"/>
        <v>2.2688231290312125E-4</v>
      </c>
      <c r="N128" s="163">
        <v>125</v>
      </c>
      <c r="O128" s="208">
        <f t="shared" si="12"/>
        <v>1</v>
      </c>
    </row>
    <row r="129" spans="1:15" x14ac:dyDescent="0.2">
      <c r="A129" s="179"/>
      <c r="B129" s="179"/>
      <c r="D129" s="86">
        <v>43983</v>
      </c>
      <c r="E129" s="64">
        <f t="shared" si="11"/>
        <v>3</v>
      </c>
      <c r="F129" s="101">
        <v>3</v>
      </c>
      <c r="G129" s="140"/>
      <c r="H129" s="64">
        <f>E129/'Erkrankungs- und Strukturdaten'!$C$7</f>
        <v>5.4545454545454541</v>
      </c>
      <c r="I129" s="64">
        <f t="shared" si="14"/>
        <v>30863</v>
      </c>
      <c r="J129" s="64">
        <f t="shared" si="13"/>
        <v>0</v>
      </c>
      <c r="K129" s="101">
        <f>IFERROR(IF(D129=_Datum,Prognoseparameter!$C$14,
IF(_WachstumsrateKURZ="Bundesweit",IF(D129&gt;_Datum,
         K128+AVERAGE(F125:F128)*(1+_WR)*(1-(K128-VLOOKUP('Erkrankungs- und Strukturdaten'!$C$45,$D:$M,$K$1,FALSE))/$B$16),
         K130-$B$23*F130),
IF(D129&gt;_Datum,K128+G129,IF(G130="",K130/(K130^(1/N129)),K130-G130)))),"")</f>
        <v>0</v>
      </c>
      <c r="L129" s="64">
        <f>I129/'Erkrankungs- und Strukturdaten'!$C$7</f>
        <v>56114.545454545449</v>
      </c>
      <c r="M129" s="65">
        <f t="shared" si="15"/>
        <v>9.7213220998055731E-5</v>
      </c>
      <c r="N129" s="163">
        <v>126</v>
      </c>
      <c r="O129" s="208">
        <f t="shared" si="12"/>
        <v>1</v>
      </c>
    </row>
    <row r="130" spans="1:15" x14ac:dyDescent="0.2">
      <c r="A130" s="179"/>
      <c r="B130" s="179"/>
      <c r="D130" s="86">
        <v>43984</v>
      </c>
      <c r="E130" s="64">
        <f t="shared" si="11"/>
        <v>23</v>
      </c>
      <c r="F130" s="101">
        <v>23</v>
      </c>
      <c r="G130" s="140"/>
      <c r="H130" s="64">
        <f>E130/'Erkrankungs- und Strukturdaten'!$C$7</f>
        <v>41.818181818181813</v>
      </c>
      <c r="I130" s="64">
        <f t="shared" si="14"/>
        <v>30886</v>
      </c>
      <c r="J130" s="64">
        <f t="shared" si="13"/>
        <v>0</v>
      </c>
      <c r="K130" s="101">
        <f>IFERROR(IF(D130=_Datum,Prognoseparameter!$C$14,
IF(_WachstumsrateKURZ="Bundesweit",IF(D130&gt;_Datum,
         K129+AVERAGE(F126:F129)*(1+_WR)*(1-(K129-VLOOKUP('Erkrankungs- und Strukturdaten'!$C$45,$D:$M,$K$1,FALSE))/$B$16),
         K131-$B$23*F131),
IF(D130&gt;_Datum,K129+G130,IF(G131="",K131/(K131^(1/N130)),K131-G131)))),"")</f>
        <v>0</v>
      </c>
      <c r="L130" s="64">
        <f>I130/'Erkrankungs- und Strukturdaten'!$C$7</f>
        <v>56156.363636363632</v>
      </c>
      <c r="M130" s="65">
        <f t="shared" si="15"/>
        <v>7.4522891488189747E-4</v>
      </c>
      <c r="N130" s="163">
        <v>127</v>
      </c>
      <c r="O130" s="208">
        <f t="shared" si="12"/>
        <v>1</v>
      </c>
    </row>
    <row r="131" spans="1:15" x14ac:dyDescent="0.2">
      <c r="A131" s="179"/>
      <c r="B131" s="179"/>
      <c r="D131" s="86">
        <v>43985</v>
      </c>
      <c r="E131" s="64">
        <f t="shared" si="11"/>
        <v>23</v>
      </c>
      <c r="F131" s="101">
        <v>23</v>
      </c>
      <c r="G131" s="140"/>
      <c r="H131" s="64">
        <f>E131/'Erkrankungs- und Strukturdaten'!$C$7</f>
        <v>41.818181818181813</v>
      </c>
      <c r="I131" s="64">
        <f t="shared" si="14"/>
        <v>30909</v>
      </c>
      <c r="J131" s="64">
        <f t="shared" si="13"/>
        <v>0</v>
      </c>
      <c r="K131" s="101">
        <f>IFERROR(IF(D131=_Datum,Prognoseparameter!$C$14,
IF(_WachstumsrateKURZ="Bundesweit",IF(D131&gt;_Datum,
         K130+AVERAGE(F127:F130)*(1+_WR)*(1-(K130-VLOOKUP('Erkrankungs- und Strukturdaten'!$C$45,$D:$M,$K$1,FALSE))/$B$16),
         K132-$B$23*F132),
IF(D131&gt;_Datum,K130+G131,IF(G132="",K132/(K132^(1/N131)),K132-G132)))),"")</f>
        <v>0</v>
      </c>
      <c r="L131" s="64">
        <f>I131/'Erkrankungs- und Strukturdaten'!$C$7</f>
        <v>56198.181818181816</v>
      </c>
      <c r="M131" s="65">
        <f t="shared" si="15"/>
        <v>7.4467396231302208E-4</v>
      </c>
      <c r="N131" s="163">
        <v>128</v>
      </c>
      <c r="O131" s="208">
        <f t="shared" si="12"/>
        <v>1</v>
      </c>
    </row>
    <row r="132" spans="1:15" x14ac:dyDescent="0.2">
      <c r="A132" s="179"/>
      <c r="B132" s="179"/>
      <c r="D132" s="86">
        <v>43986</v>
      </c>
      <c r="E132" s="64">
        <f t="shared" ref="E132:E195" si="16">IF(_AusgangswertKURZ="Bevölkerungsanteil",
$B$26*IF(F132=ROUNDDOWN(F132,0),F132,F132*VLOOKUP(WEEKDAY($D132,1),$A$51:$B$57,$B$1,FALSE)),
$B$17*IF(G132=ROUNDDOWN(G132,0),G132,G132*VLOOKUP(WEEKDAY($D132,1),$A$51:$B$57,$B$1,FALSE)))</f>
        <v>17</v>
      </c>
      <c r="F132" s="101">
        <v>17</v>
      </c>
      <c r="G132" s="140"/>
      <c r="H132" s="64">
        <f>E132/'Erkrankungs- und Strukturdaten'!$C$7</f>
        <v>30.909090909090907</v>
      </c>
      <c r="I132" s="64">
        <f t="shared" si="14"/>
        <v>30926</v>
      </c>
      <c r="J132" s="64">
        <f t="shared" si="13"/>
        <v>0</v>
      </c>
      <c r="K132" s="101">
        <f>IFERROR(IF(D132=_Datum,Prognoseparameter!$C$14,
IF(_WachstumsrateKURZ="Bundesweit",IF(D132&gt;_Datum,
         K131+AVERAGE(F128:F131)*(1+_WR)*(1-(K131-VLOOKUP('Erkrankungs- und Strukturdaten'!$C$45,$D:$M,$K$1,FALSE))/$B$16),
         K133-$B$23*F133),
IF(D132&gt;_Datum,K131+G132,IF(G133="",K133/(K133^(1/N132)),K133-G133)))),"")</f>
        <v>0</v>
      </c>
      <c r="L132" s="64">
        <f>I132/'Erkrankungs- und Strukturdaten'!$C$7</f>
        <v>56229.090909090904</v>
      </c>
      <c r="M132" s="65">
        <f t="shared" si="15"/>
        <v>5.5000161765181668E-4</v>
      </c>
      <c r="N132" s="163">
        <v>129</v>
      </c>
      <c r="O132" s="208">
        <f t="shared" ref="O132:O195" si="17">IF(F132=ROUNDDOWN(F132,0),1,0)</f>
        <v>1</v>
      </c>
    </row>
    <row r="133" spans="1:15" x14ac:dyDescent="0.2">
      <c r="A133" s="179"/>
      <c r="B133" s="179"/>
      <c r="D133" s="86">
        <v>43987</v>
      </c>
      <c r="E133" s="64">
        <f t="shared" si="16"/>
        <v>15</v>
      </c>
      <c r="F133" s="101">
        <v>15</v>
      </c>
      <c r="G133" s="140"/>
      <c r="H133" s="64">
        <f>E133/'Erkrankungs- und Strukturdaten'!$C$7</f>
        <v>27.27272727272727</v>
      </c>
      <c r="I133" s="64">
        <f t="shared" si="14"/>
        <v>30941</v>
      </c>
      <c r="J133" s="64">
        <f t="shared" ref="J133:J196" si="18">J132+G133</f>
        <v>0</v>
      </c>
      <c r="K133" s="101">
        <f>IFERROR(IF(D133=_Datum,Prognoseparameter!$C$14,
IF(_WachstumsrateKURZ="Bundesweit",IF(D133&gt;_Datum,
         K132+AVERAGE(F129:F132)*(1+_WR)*(1-(K132-VLOOKUP('Erkrankungs- und Strukturdaten'!$C$45,$D:$M,$K$1,FALSE))/$B$16),
         K134-$B$23*F134),
IF(D133&gt;_Datum,K132+G133,IF(G134="",K134/(K134^(1/N133)),K134-G134)))),"")</f>
        <v>0</v>
      </c>
      <c r="L133" s="64">
        <f>I133/'Erkrankungs- und Strukturdaten'!$C$7</f>
        <v>56256.363636363632</v>
      </c>
      <c r="M133" s="65">
        <f t="shared" si="15"/>
        <v>4.8502877837418355E-4</v>
      </c>
      <c r="N133" s="163">
        <v>130</v>
      </c>
      <c r="O133" s="208">
        <f t="shared" si="17"/>
        <v>1</v>
      </c>
    </row>
    <row r="134" spans="1:15" x14ac:dyDescent="0.2">
      <c r="A134" s="179"/>
      <c r="B134" s="179"/>
      <c r="D134" s="86">
        <v>43988</v>
      </c>
      <c r="E134" s="64">
        <f t="shared" si="16"/>
        <v>10</v>
      </c>
      <c r="F134" s="101">
        <v>10</v>
      </c>
      <c r="G134" s="140"/>
      <c r="H134" s="64">
        <f>E134/'Erkrankungs- und Strukturdaten'!$C$7</f>
        <v>18.18181818181818</v>
      </c>
      <c r="I134" s="64">
        <f t="shared" ref="I134:I197" si="19">I133+F134</f>
        <v>30951</v>
      </c>
      <c r="J134" s="64">
        <f t="shared" si="18"/>
        <v>0</v>
      </c>
      <c r="K134" s="101">
        <f>IFERROR(IF(D134=_Datum,Prognoseparameter!$C$14,
IF(_WachstumsrateKURZ="Bundesweit",IF(D134&gt;_Datum,
         K133+AVERAGE(F130:F133)*(1+_WR)*(1-(K133-VLOOKUP('Erkrankungs- und Strukturdaten'!$C$45,$D:$M,$K$1,FALSE))/$B$16),
         K135-$B$23*F135),
IF(D134&gt;_Datum,K133+G134,IF(G135="",K135/(K135^(1/N134)),K135-G135)))),"")</f>
        <v>0</v>
      </c>
      <c r="L134" s="64">
        <f>I134/'Erkrankungs- und Strukturdaten'!$C$7</f>
        <v>56274.545454545449</v>
      </c>
      <c r="M134" s="65">
        <f t="shared" ref="M134:M197" si="20">IFERROR((I134-I133)/I133,0)</f>
        <v>3.2319575967163313E-4</v>
      </c>
      <c r="N134" s="163">
        <v>131</v>
      </c>
      <c r="O134" s="208">
        <f t="shared" si="17"/>
        <v>1</v>
      </c>
    </row>
    <row r="135" spans="1:15" x14ac:dyDescent="0.2">
      <c r="A135" s="179"/>
      <c r="B135" s="179"/>
      <c r="D135" s="86">
        <v>43989</v>
      </c>
      <c r="E135" s="64">
        <f t="shared" si="16"/>
        <v>8</v>
      </c>
      <c r="F135" s="101">
        <v>8</v>
      </c>
      <c r="G135" s="140"/>
      <c r="H135" s="64">
        <f>E135/'Erkrankungs- und Strukturdaten'!$C$7</f>
        <v>14.545454545454545</v>
      </c>
      <c r="I135" s="64">
        <f t="shared" si="19"/>
        <v>30959</v>
      </c>
      <c r="J135" s="64">
        <f t="shared" si="18"/>
        <v>0</v>
      </c>
      <c r="K135" s="101">
        <f>IFERROR(IF(D135=_Datum,Prognoseparameter!$C$14,
IF(_WachstumsrateKURZ="Bundesweit",IF(D135&gt;_Datum,
         K134+AVERAGE(F131:F134)*(1+_WR)*(1-(K134-VLOOKUP('Erkrankungs- und Strukturdaten'!$C$45,$D:$M,$K$1,FALSE))/$B$16),
         K136-$B$23*F136),
IF(D135&gt;_Datum,K134+G135,IF(G136="",K136/(K136^(1/N135)),K136-G136)))),"")</f>
        <v>0</v>
      </c>
      <c r="L135" s="64">
        <f>I135/'Erkrankungs- und Strukturdaten'!$C$7</f>
        <v>56289.090909090904</v>
      </c>
      <c r="M135" s="65">
        <f t="shared" si="20"/>
        <v>2.5847307033698429E-4</v>
      </c>
      <c r="N135" s="163">
        <v>132</v>
      </c>
      <c r="O135" s="208">
        <f t="shared" si="17"/>
        <v>1</v>
      </c>
    </row>
    <row r="136" spans="1:15" x14ac:dyDescent="0.2">
      <c r="A136" s="179"/>
      <c r="B136" s="179"/>
      <c r="D136" s="86">
        <v>43990</v>
      </c>
      <c r="E136" s="64">
        <f t="shared" si="16"/>
        <v>25</v>
      </c>
      <c r="F136" s="101">
        <v>25</v>
      </c>
      <c r="G136" s="140"/>
      <c r="H136" s="64">
        <f>E136/'Erkrankungs- und Strukturdaten'!$C$7</f>
        <v>45.454545454545453</v>
      </c>
      <c r="I136" s="64">
        <f t="shared" si="19"/>
        <v>30984</v>
      </c>
      <c r="J136" s="64">
        <f t="shared" si="18"/>
        <v>0</v>
      </c>
      <c r="K136" s="101">
        <f>IFERROR(IF(D136=_Datum,Prognoseparameter!$C$14,
IF(_WachstumsrateKURZ="Bundesweit",IF(D136&gt;_Datum,
         K135+AVERAGE(F132:F135)*(1+_WR)*(1-(K135-VLOOKUP('Erkrankungs- und Strukturdaten'!$C$45,$D:$M,$K$1,FALSE))/$B$16),
         K137-$B$23*F137),
IF(D136&gt;_Datum,K135+G136,IF(G137="",K137/(K137^(1/N136)),K137-G137)))),"")</f>
        <v>0</v>
      </c>
      <c r="L136" s="64">
        <f>I136/'Erkrankungs- und Strukturdaten'!$C$7</f>
        <v>56334.545454545449</v>
      </c>
      <c r="M136" s="65">
        <f t="shared" si="20"/>
        <v>8.0751962272683226E-4</v>
      </c>
      <c r="N136" s="163">
        <v>133</v>
      </c>
      <c r="O136" s="208">
        <f t="shared" si="17"/>
        <v>1</v>
      </c>
    </row>
    <row r="137" spans="1:15" x14ac:dyDescent="0.2">
      <c r="A137" s="179"/>
      <c r="B137" s="179"/>
      <c r="D137" s="86">
        <v>43991</v>
      </c>
      <c r="E137" s="64">
        <f t="shared" si="16"/>
        <v>11</v>
      </c>
      <c r="F137" s="101">
        <v>11</v>
      </c>
      <c r="G137" s="140"/>
      <c r="H137" s="64">
        <f>E137/'Erkrankungs- und Strukturdaten'!$C$7</f>
        <v>20</v>
      </c>
      <c r="I137" s="64">
        <f t="shared" si="19"/>
        <v>30995</v>
      </c>
      <c r="J137" s="64">
        <f t="shared" si="18"/>
        <v>0</v>
      </c>
      <c r="K137" s="101">
        <f>IFERROR(IF(D137=_Datum,Prognoseparameter!$C$14,
IF(_WachstumsrateKURZ="Bundesweit",IF(D137&gt;_Datum,
         K136+AVERAGE(F133:F136)*(1+_WR)*(1-(K136-VLOOKUP('Erkrankungs- und Strukturdaten'!$C$45,$D:$M,$K$1,FALSE))/$B$16),
         K138-$B$23*F138),
IF(D137&gt;_Datum,K136+G137,IF(G138="",K138/(K138^(1/N137)),K138-G138)))),"")</f>
        <v>0</v>
      </c>
      <c r="L137" s="64">
        <f>I137/'Erkrankungs- und Strukturdaten'!$C$7</f>
        <v>56354.545454545449</v>
      </c>
      <c r="M137" s="65">
        <f t="shared" si="20"/>
        <v>3.5502194681125745E-4</v>
      </c>
      <c r="N137" s="163">
        <v>134</v>
      </c>
      <c r="O137" s="208">
        <f t="shared" si="17"/>
        <v>1</v>
      </c>
    </row>
    <row r="138" spans="1:15" x14ac:dyDescent="0.2">
      <c r="A138" s="179"/>
      <c r="B138" s="179"/>
      <c r="D138" s="86">
        <v>43992</v>
      </c>
      <c r="E138" s="64">
        <f t="shared" si="16"/>
        <v>24</v>
      </c>
      <c r="F138" s="101">
        <v>24</v>
      </c>
      <c r="G138" s="140"/>
      <c r="H138" s="64">
        <f>E138/'Erkrankungs- und Strukturdaten'!$C$7</f>
        <v>43.636363636363633</v>
      </c>
      <c r="I138" s="64">
        <f t="shared" si="19"/>
        <v>31019</v>
      </c>
      <c r="J138" s="64">
        <f t="shared" si="18"/>
        <v>0</v>
      </c>
      <c r="K138" s="101">
        <f>IFERROR(IF(D138=_Datum,Prognoseparameter!$C$14,
IF(_WachstumsrateKURZ="Bundesweit",IF(D138&gt;_Datum,
         K137+AVERAGE(F134:F137)*(1+_WR)*(1-(K137-VLOOKUP('Erkrankungs- und Strukturdaten'!$C$45,$D:$M,$K$1,FALSE))/$B$16),
         K139-$B$23*F139),
IF(D138&gt;_Datum,K137+G138,IF(G139="",K139/(K139^(1/N138)),K139-G139)))),"")</f>
        <v>0</v>
      </c>
      <c r="L138" s="64">
        <f>I138/'Erkrankungs- und Strukturdaten'!$C$7</f>
        <v>56398.181818181816</v>
      </c>
      <c r="M138" s="65">
        <f t="shared" si="20"/>
        <v>7.7431843845781581E-4</v>
      </c>
      <c r="N138" s="163">
        <v>135</v>
      </c>
      <c r="O138" s="208">
        <f t="shared" si="17"/>
        <v>1</v>
      </c>
    </row>
    <row r="139" spans="1:15" x14ac:dyDescent="0.2">
      <c r="A139" s="179"/>
      <c r="B139" s="179"/>
      <c r="D139" s="86">
        <v>43993</v>
      </c>
      <c r="E139" s="64">
        <f t="shared" si="16"/>
        <v>25</v>
      </c>
      <c r="F139" s="101">
        <v>25</v>
      </c>
      <c r="G139" s="140"/>
      <c r="H139" s="64">
        <f>E139/'Erkrankungs- und Strukturdaten'!$C$7</f>
        <v>45.454545454545453</v>
      </c>
      <c r="I139" s="64">
        <f t="shared" si="19"/>
        <v>31044</v>
      </c>
      <c r="J139" s="64">
        <f t="shared" si="18"/>
        <v>0</v>
      </c>
      <c r="K139" s="101">
        <f>IFERROR(IF(D139=_Datum,Prognoseparameter!$C$14,
IF(_WachstumsrateKURZ="Bundesweit",IF(D139&gt;_Datum,
         K138+AVERAGE(F135:F138)*(1+_WR)*(1-(K138-VLOOKUP('Erkrankungs- und Strukturdaten'!$C$45,$D:$M,$K$1,FALSE))/$B$16),
         K140-$B$23*F140),
IF(D139&gt;_Datum,K138+G139,IF(G140="",K140/(K140^(1/N139)),K140-G140)))),"")</f>
        <v>0</v>
      </c>
      <c r="L139" s="64">
        <f>I139/'Erkrankungs- und Strukturdaten'!$C$7</f>
        <v>56443.63636363636</v>
      </c>
      <c r="M139" s="65">
        <f t="shared" si="20"/>
        <v>8.059576388665012E-4</v>
      </c>
      <c r="N139" s="163">
        <v>136</v>
      </c>
      <c r="O139" s="208">
        <f t="shared" si="17"/>
        <v>1</v>
      </c>
    </row>
    <row r="140" spans="1:15" x14ac:dyDescent="0.2">
      <c r="A140" s="179"/>
      <c r="B140" s="179"/>
      <c r="D140" s="86">
        <v>43994</v>
      </c>
      <c r="E140" s="64">
        <f t="shared" si="16"/>
        <v>34</v>
      </c>
      <c r="F140" s="101">
        <v>34</v>
      </c>
      <c r="G140" s="140"/>
      <c r="H140" s="64">
        <f>E140/'Erkrankungs- und Strukturdaten'!$C$7</f>
        <v>61.818181818181813</v>
      </c>
      <c r="I140" s="64">
        <f t="shared" si="19"/>
        <v>31078</v>
      </c>
      <c r="J140" s="64">
        <f t="shared" si="18"/>
        <v>0</v>
      </c>
      <c r="K140" s="101">
        <f>IFERROR(IF(D140=_Datum,Prognoseparameter!$C$14,
IF(_WachstumsrateKURZ="Bundesweit",IF(D140&gt;_Datum,
         K139+AVERAGE(F136:F139)*(1+_WR)*(1-(K139-VLOOKUP('Erkrankungs- und Strukturdaten'!$C$45,$D:$M,$K$1,FALSE))/$B$16),
         K141-$B$23*F141),
IF(D140&gt;_Datum,K139+G140,IF(G141="",K141/(K141^(1/N140)),K141-G141)))),"")</f>
        <v>0</v>
      </c>
      <c r="L140" s="64">
        <f>I140/'Erkrankungs- und Strukturdaten'!$C$7</f>
        <v>56505.454545454544</v>
      </c>
      <c r="M140" s="65">
        <f t="shared" si="20"/>
        <v>1.0952196881845123E-3</v>
      </c>
      <c r="N140" s="163">
        <v>137</v>
      </c>
      <c r="O140" s="208">
        <f t="shared" si="17"/>
        <v>1</v>
      </c>
    </row>
    <row r="141" spans="1:15" x14ac:dyDescent="0.2">
      <c r="A141" s="179"/>
      <c r="B141" s="179"/>
      <c r="D141" s="86">
        <v>43995</v>
      </c>
      <c r="E141" s="64">
        <f t="shared" si="16"/>
        <v>9</v>
      </c>
      <c r="F141" s="101">
        <v>9</v>
      </c>
      <c r="G141" s="140"/>
      <c r="H141" s="64">
        <f>E141/'Erkrankungs- und Strukturdaten'!$C$7</f>
        <v>16.363636363636363</v>
      </c>
      <c r="I141" s="64">
        <f t="shared" si="19"/>
        <v>31087</v>
      </c>
      <c r="J141" s="64">
        <f t="shared" si="18"/>
        <v>0</v>
      </c>
      <c r="K141" s="101">
        <f>IFERROR(IF(D141=_Datum,Prognoseparameter!$C$14,
IF(_WachstumsrateKURZ="Bundesweit",IF(D141&gt;_Datum,
         K140+AVERAGE(F137:F140)*(1+_WR)*(1-(K140-VLOOKUP('Erkrankungs- und Strukturdaten'!$C$45,$D:$M,$K$1,FALSE))/$B$16),
         K142-$B$23*F142),
IF(D141&gt;_Datum,K140+G141,IF(G142="",K142/(K142^(1/N141)),K142-G142)))),"")</f>
        <v>0</v>
      </c>
      <c r="L141" s="64">
        <f>I141/'Erkrankungs- und Strukturdaten'!$C$7</f>
        <v>56521.818181818177</v>
      </c>
      <c r="M141" s="65">
        <f t="shared" si="20"/>
        <v>2.8959392496299632E-4</v>
      </c>
      <c r="N141" s="163">
        <v>138</v>
      </c>
      <c r="O141" s="208">
        <f t="shared" si="17"/>
        <v>1</v>
      </c>
    </row>
    <row r="142" spans="1:15" x14ac:dyDescent="0.2">
      <c r="A142" s="179"/>
      <c r="B142" s="179"/>
      <c r="D142" s="86">
        <v>43996</v>
      </c>
      <c r="E142" s="64">
        <f t="shared" si="16"/>
        <v>12</v>
      </c>
      <c r="F142" s="101">
        <v>12</v>
      </c>
      <c r="G142" s="140"/>
      <c r="H142" s="64">
        <f>E142/'Erkrankungs- und Strukturdaten'!$C$7</f>
        <v>21.818181818181817</v>
      </c>
      <c r="I142" s="64">
        <f t="shared" si="19"/>
        <v>31099</v>
      </c>
      <c r="J142" s="64">
        <f t="shared" si="18"/>
        <v>0</v>
      </c>
      <c r="K142" s="101">
        <f>IFERROR(IF(D142=_Datum,Prognoseparameter!$C$14,
IF(_WachstumsrateKURZ="Bundesweit",IF(D142&gt;_Datum,
         K141+AVERAGE(F138:F141)*(1+_WR)*(1-(K141-VLOOKUP('Erkrankungs- und Strukturdaten'!$C$45,$D:$M,$K$1,FALSE))/$B$16),
         K143-$B$23*F143),
IF(D142&gt;_Datum,K141+G142,IF(G143="",K143/(K143^(1/N142)),K143-G143)))),"")</f>
        <v>0</v>
      </c>
      <c r="L142" s="64">
        <f>I142/'Erkrankungs- und Strukturdaten'!$C$7</f>
        <v>56543.63636363636</v>
      </c>
      <c r="M142" s="65">
        <f t="shared" si="20"/>
        <v>3.8601344613504036E-4</v>
      </c>
      <c r="N142" s="163">
        <v>139</v>
      </c>
      <c r="O142" s="208">
        <f t="shared" si="17"/>
        <v>1</v>
      </c>
    </row>
    <row r="143" spans="1:15" x14ac:dyDescent="0.2">
      <c r="A143" s="179"/>
      <c r="B143" s="179"/>
      <c r="D143" s="86">
        <v>43997</v>
      </c>
      <c r="E143" s="64">
        <f t="shared" si="16"/>
        <v>32</v>
      </c>
      <c r="F143" s="101">
        <v>32</v>
      </c>
      <c r="G143" s="140"/>
      <c r="H143" s="64">
        <f>E143/'Erkrankungs- und Strukturdaten'!$C$7</f>
        <v>58.18181818181818</v>
      </c>
      <c r="I143" s="64">
        <f t="shared" si="19"/>
        <v>31131</v>
      </c>
      <c r="J143" s="64">
        <f t="shared" si="18"/>
        <v>0</v>
      </c>
      <c r="K143" s="101">
        <f>IFERROR(IF(D143=_Datum,Prognoseparameter!$C$14,
IF(_WachstumsrateKURZ="Bundesweit",IF(D143&gt;_Datum,
         K142+AVERAGE(F139:F142)*(1+_WR)*(1-(K142-VLOOKUP('Erkrankungs- und Strukturdaten'!$C$45,$D:$M,$K$1,FALSE))/$B$16),
         K144-$B$23*F144),
IF(D143&gt;_Datum,K142+G143,IF(G144="",K144/(K144^(1/N143)),K144-G144)))),"")</f>
        <v>0</v>
      </c>
      <c r="L143" s="64">
        <f>I143/'Erkrankungs- und Strukturdaten'!$C$7</f>
        <v>56601.818181818177</v>
      </c>
      <c r="M143" s="65">
        <f t="shared" si="20"/>
        <v>1.0289719926685746E-3</v>
      </c>
      <c r="N143" s="163">
        <v>140</v>
      </c>
      <c r="O143" s="208">
        <f t="shared" si="17"/>
        <v>1</v>
      </c>
    </row>
    <row r="144" spans="1:15" x14ac:dyDescent="0.2">
      <c r="A144" s="179"/>
      <c r="B144" s="179"/>
      <c r="D144" s="86">
        <v>43998</v>
      </c>
      <c r="E144" s="64">
        <f t="shared" si="16"/>
        <v>21</v>
      </c>
      <c r="F144" s="101">
        <v>21</v>
      </c>
      <c r="G144" s="140"/>
      <c r="H144" s="64">
        <f>E144/'Erkrankungs- und Strukturdaten'!$C$7</f>
        <v>38.18181818181818</v>
      </c>
      <c r="I144" s="64">
        <f t="shared" si="19"/>
        <v>31152</v>
      </c>
      <c r="J144" s="64">
        <f t="shared" si="18"/>
        <v>0</v>
      </c>
      <c r="K144" s="101">
        <f>IFERROR(IF(D144=_Datum,Prognoseparameter!$C$14,
IF(_WachstumsrateKURZ="Bundesweit",IF(D144&gt;_Datum,
         K143+AVERAGE(F140:F143)*(1+_WR)*(1-(K143-VLOOKUP('Erkrankungs- und Strukturdaten'!$C$45,$D:$M,$K$1,FALSE))/$B$16),
         K145-$B$23*F145),
IF(D144&gt;_Datum,K143+G144,IF(G145="",K145/(K145^(1/N144)),K145-G145)))),"")</f>
        <v>0</v>
      </c>
      <c r="L144" s="64">
        <f>I144/'Erkrankungs- und Strukturdaten'!$C$7</f>
        <v>56639.999999999993</v>
      </c>
      <c r="M144" s="65">
        <f t="shared" si="20"/>
        <v>6.7456875782981589E-4</v>
      </c>
      <c r="N144" s="163">
        <v>141</v>
      </c>
      <c r="O144" s="208">
        <f t="shared" si="17"/>
        <v>1</v>
      </c>
    </row>
    <row r="145" spans="1:15" x14ac:dyDescent="0.2">
      <c r="A145" s="179"/>
      <c r="B145" s="179"/>
      <c r="D145" s="86">
        <v>43999</v>
      </c>
      <c r="E145" s="64">
        <f t="shared" si="16"/>
        <v>18</v>
      </c>
      <c r="F145" s="101">
        <v>18</v>
      </c>
      <c r="G145" s="140"/>
      <c r="H145" s="64">
        <f>E145/'Erkrankungs- und Strukturdaten'!$C$7</f>
        <v>32.727272727272727</v>
      </c>
      <c r="I145" s="64">
        <f t="shared" si="19"/>
        <v>31170</v>
      </c>
      <c r="J145" s="64">
        <f t="shared" si="18"/>
        <v>0</v>
      </c>
      <c r="K145" s="101">
        <f>IFERROR(IF(D145=_Datum,Prognoseparameter!$C$14,
IF(_WachstumsrateKURZ="Bundesweit",IF(D145&gt;_Datum,
         K144+AVERAGE(F141:F144)*(1+_WR)*(1-(K144-VLOOKUP('Erkrankungs- und Strukturdaten'!$C$45,$D:$M,$K$1,FALSE))/$B$16),
         K146-$B$23*F146),
IF(D145&gt;_Datum,K144+G145,IF(G146="",K146/(K146^(1/N145)),K146-G146)))),"")</f>
        <v>0</v>
      </c>
      <c r="L145" s="64">
        <f>I145/'Erkrankungs- und Strukturdaten'!$C$7</f>
        <v>56672.727272727265</v>
      </c>
      <c r="M145" s="65">
        <f t="shared" si="20"/>
        <v>5.7781201848998464E-4</v>
      </c>
      <c r="N145" s="163">
        <v>142</v>
      </c>
      <c r="O145" s="208">
        <f t="shared" si="17"/>
        <v>1</v>
      </c>
    </row>
    <row r="146" spans="1:15" x14ac:dyDescent="0.2">
      <c r="A146" s="179"/>
      <c r="B146" s="179"/>
      <c r="D146" s="86">
        <v>44000</v>
      </c>
      <c r="E146" s="64">
        <f t="shared" si="16"/>
        <v>18</v>
      </c>
      <c r="F146" s="101">
        <v>18</v>
      </c>
      <c r="G146" s="140"/>
      <c r="H146" s="64">
        <f>E146/'Erkrankungs- und Strukturdaten'!$C$7</f>
        <v>32.727272727272727</v>
      </c>
      <c r="I146" s="64">
        <f t="shared" si="19"/>
        <v>31188</v>
      </c>
      <c r="J146" s="64">
        <f t="shared" si="18"/>
        <v>0</v>
      </c>
      <c r="K146" s="101">
        <f>IFERROR(IF(D146=_Datum,Prognoseparameter!$C$14,
IF(_WachstumsrateKURZ="Bundesweit",IF(D146&gt;_Datum,
         K145+AVERAGE(F142:F145)*(1+_WR)*(1-(K145-VLOOKUP('Erkrankungs- und Strukturdaten'!$C$45,$D:$M,$K$1,FALSE))/$B$16),
         K147-$B$23*F147),
IF(D146&gt;_Datum,K145+G146,IF(G147="",K147/(K147^(1/N146)),K147-G147)))),"")</f>
        <v>0</v>
      </c>
      <c r="L146" s="64">
        <f>I146/'Erkrankungs- und Strukturdaten'!$C$7</f>
        <v>56705.454545454544</v>
      </c>
      <c r="M146" s="65">
        <f t="shared" si="20"/>
        <v>5.7747834456207893E-4</v>
      </c>
      <c r="N146" s="163">
        <v>143</v>
      </c>
      <c r="O146" s="208">
        <f t="shared" si="17"/>
        <v>1</v>
      </c>
    </row>
    <row r="147" spans="1:15" x14ac:dyDescent="0.2">
      <c r="A147" s="179"/>
      <c r="B147" s="179"/>
      <c r="D147" s="86">
        <v>44001</v>
      </c>
      <c r="E147" s="64">
        <f t="shared" si="16"/>
        <v>37</v>
      </c>
      <c r="F147" s="101">
        <v>37</v>
      </c>
      <c r="G147" s="140"/>
      <c r="H147" s="64">
        <f>E147/'Erkrankungs- und Strukturdaten'!$C$7</f>
        <v>67.272727272727266</v>
      </c>
      <c r="I147" s="64">
        <f t="shared" si="19"/>
        <v>31225</v>
      </c>
      <c r="J147" s="64">
        <f t="shared" si="18"/>
        <v>0</v>
      </c>
      <c r="K147" s="101">
        <f>IFERROR(IF(D147=_Datum,Prognoseparameter!$C$14,
IF(_WachstumsrateKURZ="Bundesweit",IF(D147&gt;_Datum,
         K146+AVERAGE(F143:F146)*(1+_WR)*(1-(K146-VLOOKUP('Erkrankungs- und Strukturdaten'!$C$45,$D:$M,$K$1,FALSE))/$B$16),
         K148-$B$23*F148),
IF(D147&gt;_Datum,K146+G147,IF(G148="",K148/(K148^(1/N147)),K148-G148)))),"")</f>
        <v>0</v>
      </c>
      <c r="L147" s="64">
        <f>I147/'Erkrankungs- und Strukturdaten'!$C$7</f>
        <v>56772.727272727265</v>
      </c>
      <c r="M147" s="65">
        <f t="shared" si="20"/>
        <v>1.1863537257919712E-3</v>
      </c>
      <c r="N147" s="163">
        <v>144</v>
      </c>
      <c r="O147" s="208">
        <f t="shared" si="17"/>
        <v>1</v>
      </c>
    </row>
    <row r="148" spans="1:15" x14ac:dyDescent="0.2">
      <c r="A148" s="179"/>
      <c r="B148" s="179"/>
      <c r="D148" s="86">
        <v>44002</v>
      </c>
      <c r="E148" s="64">
        <f t="shared" si="16"/>
        <v>32</v>
      </c>
      <c r="F148" s="101">
        <v>32</v>
      </c>
      <c r="G148" s="140"/>
      <c r="H148" s="64">
        <f>E148/'Erkrankungs- und Strukturdaten'!$C$7</f>
        <v>58.18181818181818</v>
      </c>
      <c r="I148" s="64">
        <f t="shared" si="19"/>
        <v>31257</v>
      </c>
      <c r="J148" s="64">
        <f t="shared" si="18"/>
        <v>0</v>
      </c>
      <c r="K148" s="101">
        <f>IFERROR(IF(D148=_Datum,Prognoseparameter!$C$14,
IF(_WachstumsrateKURZ="Bundesweit",IF(D148&gt;_Datum,
         K147+AVERAGE(F144:F147)*(1+_WR)*(1-(K147-VLOOKUP('Erkrankungs- und Strukturdaten'!$C$45,$D:$M,$K$1,FALSE))/$B$16),
         K149-$B$23*F149),
IF(D148&gt;_Datum,K147+G148,IF(G149="",K149/(K149^(1/N148)),K149-G149)))),"")</f>
        <v>0</v>
      </c>
      <c r="L148" s="64">
        <f>I148/'Erkrankungs- und Strukturdaten'!$C$7</f>
        <v>56830.909090909088</v>
      </c>
      <c r="M148" s="65">
        <f t="shared" si="20"/>
        <v>1.0248198558847077E-3</v>
      </c>
      <c r="N148" s="163">
        <v>145</v>
      </c>
      <c r="O148" s="208">
        <f t="shared" si="17"/>
        <v>1</v>
      </c>
    </row>
    <row r="149" spans="1:15" x14ac:dyDescent="0.2">
      <c r="A149" s="179"/>
      <c r="B149" s="179"/>
      <c r="D149" s="86">
        <v>44003</v>
      </c>
      <c r="E149" s="64">
        <f t="shared" si="16"/>
        <v>13</v>
      </c>
      <c r="F149" s="101">
        <v>13</v>
      </c>
      <c r="G149" s="140"/>
      <c r="H149" s="64">
        <f>E149/'Erkrankungs- und Strukturdaten'!$C$7</f>
        <v>23.636363636363633</v>
      </c>
      <c r="I149" s="64">
        <f t="shared" si="19"/>
        <v>31270</v>
      </c>
      <c r="J149" s="64">
        <f t="shared" si="18"/>
        <v>0</v>
      </c>
      <c r="K149" s="101">
        <f>IFERROR(IF(D149=_Datum,Prognoseparameter!$C$14,
IF(_WachstumsrateKURZ="Bundesweit",IF(D149&gt;_Datum,
         K148+AVERAGE(F145:F148)*(1+_WR)*(1-(K148-VLOOKUP('Erkrankungs- und Strukturdaten'!$C$45,$D:$M,$K$1,FALSE))/$B$16),
         K150-$B$23*F150),
IF(D149&gt;_Datum,K148+G149,IF(G150="",K150/(K150^(1/N149)),K150-G150)))),"")</f>
        <v>0</v>
      </c>
      <c r="L149" s="64">
        <f>I149/'Erkrankungs- und Strukturdaten'!$C$7</f>
        <v>56854.545454545449</v>
      </c>
      <c r="M149" s="65">
        <f t="shared" si="20"/>
        <v>4.1590683686854144E-4</v>
      </c>
      <c r="N149" s="163">
        <v>146</v>
      </c>
      <c r="O149" s="208">
        <f t="shared" si="17"/>
        <v>1</v>
      </c>
    </row>
    <row r="150" spans="1:15" x14ac:dyDescent="0.2">
      <c r="A150" s="179"/>
      <c r="B150" s="179"/>
      <c r="D150" s="86">
        <v>44004</v>
      </c>
      <c r="E150" s="64">
        <f t="shared" si="16"/>
        <v>56</v>
      </c>
      <c r="F150" s="101">
        <v>56</v>
      </c>
      <c r="G150" s="140"/>
      <c r="H150" s="64">
        <f>E150/'Erkrankungs- und Strukturdaten'!$C$7</f>
        <v>101.81818181818181</v>
      </c>
      <c r="I150" s="64">
        <f t="shared" si="19"/>
        <v>31326</v>
      </c>
      <c r="J150" s="64">
        <f t="shared" si="18"/>
        <v>0</v>
      </c>
      <c r="K150" s="101">
        <f>IFERROR(IF(D150=_Datum,Prognoseparameter!$C$14,
IF(_WachstumsrateKURZ="Bundesweit",IF(D150&gt;_Datum,
         K149+AVERAGE(F146:F149)*(1+_WR)*(1-(K149-VLOOKUP('Erkrankungs- und Strukturdaten'!$C$45,$D:$M,$K$1,FALSE))/$B$16),
         K151-$B$23*F151),
IF(D150&gt;_Datum,K149+G150,IF(G151="",K151/(K151^(1/N150)),K151-G151)))),"")</f>
        <v>0</v>
      </c>
      <c r="L150" s="64">
        <f>I150/'Erkrankungs- und Strukturdaten'!$C$7</f>
        <v>56956.363636363632</v>
      </c>
      <c r="M150" s="65">
        <f t="shared" si="20"/>
        <v>1.7908538535337385E-3</v>
      </c>
      <c r="N150" s="163">
        <v>147</v>
      </c>
      <c r="O150" s="208">
        <f t="shared" si="17"/>
        <v>1</v>
      </c>
    </row>
    <row r="151" spans="1:15" x14ac:dyDescent="0.2">
      <c r="A151" s="179"/>
      <c r="B151" s="179"/>
      <c r="D151" s="86">
        <v>44005</v>
      </c>
      <c r="E151" s="64">
        <f t="shared" si="16"/>
        <v>37</v>
      </c>
      <c r="F151" s="101">
        <v>37</v>
      </c>
      <c r="G151" s="140"/>
      <c r="H151" s="64">
        <f>E151/'Erkrankungs- und Strukturdaten'!$C$7</f>
        <v>67.272727272727266</v>
      </c>
      <c r="I151" s="64">
        <f t="shared" si="19"/>
        <v>31363</v>
      </c>
      <c r="J151" s="64">
        <f t="shared" si="18"/>
        <v>0</v>
      </c>
      <c r="K151" s="101">
        <f>IFERROR(IF(D151=_Datum,Prognoseparameter!$C$14,
IF(_WachstumsrateKURZ="Bundesweit",IF(D151&gt;_Datum,
         K150+AVERAGE(F147:F150)*(1+_WR)*(1-(K150-VLOOKUP('Erkrankungs- und Strukturdaten'!$C$45,$D:$M,$K$1,FALSE))/$B$16),
         K152-$B$23*F152),
IF(D151&gt;_Datum,K150+G151,IF(G152="",K152/(K152^(1/N151)),K152-G152)))),"")</f>
        <v>0</v>
      </c>
      <c r="L151" s="64">
        <f>I151/'Erkrankungs- und Strukturdaten'!$C$7</f>
        <v>57023.63636363636</v>
      </c>
      <c r="M151" s="65">
        <f t="shared" si="20"/>
        <v>1.1811274979250464E-3</v>
      </c>
      <c r="N151" s="163">
        <v>148</v>
      </c>
      <c r="O151" s="208">
        <f t="shared" si="17"/>
        <v>1</v>
      </c>
    </row>
    <row r="152" spans="1:15" x14ac:dyDescent="0.2">
      <c r="A152" s="179"/>
      <c r="B152" s="179"/>
      <c r="D152" s="86">
        <v>44006</v>
      </c>
      <c r="E152" s="64">
        <f t="shared" si="16"/>
        <v>64</v>
      </c>
      <c r="F152" s="101">
        <v>64</v>
      </c>
      <c r="G152" s="140"/>
      <c r="H152" s="64">
        <f>E152/'Erkrankungs- und Strukturdaten'!$C$7</f>
        <v>116.36363636363636</v>
      </c>
      <c r="I152" s="64">
        <f t="shared" si="19"/>
        <v>31427</v>
      </c>
      <c r="J152" s="64">
        <f t="shared" si="18"/>
        <v>0</v>
      </c>
      <c r="K152" s="101">
        <f>IFERROR(IF(D152=_Datum,Prognoseparameter!$C$14,
IF(_WachstumsrateKURZ="Bundesweit",IF(D152&gt;_Datum,
         K151+AVERAGE(F148:F151)*(1+_WR)*(1-(K151-VLOOKUP('Erkrankungs- und Strukturdaten'!$C$45,$D:$M,$K$1,FALSE))/$B$16),
         K153-$B$23*F153),
IF(D152&gt;_Datum,K151+G152,IF(G153="",K153/(K153^(1/N152)),K153-G153)))),"")</f>
        <v>0</v>
      </c>
      <c r="L152" s="64">
        <f>I152/'Erkrankungs- und Strukturdaten'!$C$7</f>
        <v>57139.999999999993</v>
      </c>
      <c r="M152" s="65">
        <f t="shared" si="20"/>
        <v>2.0406211140515896E-3</v>
      </c>
      <c r="N152" s="163">
        <v>149</v>
      </c>
      <c r="O152" s="208">
        <f t="shared" si="17"/>
        <v>1</v>
      </c>
    </row>
    <row r="153" spans="1:15" x14ac:dyDescent="0.2">
      <c r="A153" s="179"/>
      <c r="B153" s="179"/>
      <c r="D153" s="86">
        <v>44007</v>
      </c>
      <c r="E153" s="64">
        <f t="shared" si="16"/>
        <v>48</v>
      </c>
      <c r="F153" s="101">
        <v>48</v>
      </c>
      <c r="G153" s="140"/>
      <c r="H153" s="64">
        <f>E153/'Erkrankungs- und Strukturdaten'!$C$7</f>
        <v>87.272727272727266</v>
      </c>
      <c r="I153" s="64">
        <f t="shared" si="19"/>
        <v>31475</v>
      </c>
      <c r="J153" s="64">
        <f t="shared" si="18"/>
        <v>0</v>
      </c>
      <c r="K153" s="101">
        <f>IFERROR(IF(D153=_Datum,Prognoseparameter!$C$14,
IF(_WachstumsrateKURZ="Bundesweit",IF(D153&gt;_Datum,
         K152+AVERAGE(F149:F152)*(1+_WR)*(1-(K152-VLOOKUP('Erkrankungs- und Strukturdaten'!$C$45,$D:$M,$K$1,FALSE))/$B$16),
         K154-$B$23*F154),
IF(D153&gt;_Datum,K152+G153,IF(G154="",K154/(K154^(1/N153)),K154-G154)))),"")</f>
        <v>0</v>
      </c>
      <c r="L153" s="64">
        <f>I153/'Erkrankungs- und Strukturdaten'!$C$7</f>
        <v>57227.272727272721</v>
      </c>
      <c r="M153" s="65">
        <f t="shared" si="20"/>
        <v>1.5273490947274636E-3</v>
      </c>
      <c r="N153" s="163">
        <v>150</v>
      </c>
      <c r="O153" s="208">
        <f t="shared" si="17"/>
        <v>1</v>
      </c>
    </row>
    <row r="154" spans="1:15" x14ac:dyDescent="0.2">
      <c r="A154" s="179"/>
      <c r="B154" s="179"/>
      <c r="D154" s="86">
        <v>44008</v>
      </c>
      <c r="E154" s="64">
        <f t="shared" si="16"/>
        <v>92</v>
      </c>
      <c r="F154" s="101">
        <v>92</v>
      </c>
      <c r="G154" s="140"/>
      <c r="H154" s="64">
        <f>E154/'Erkrankungs- und Strukturdaten'!$C$7</f>
        <v>167.27272727272725</v>
      </c>
      <c r="I154" s="64">
        <f t="shared" si="19"/>
        <v>31567</v>
      </c>
      <c r="J154" s="64">
        <f t="shared" si="18"/>
        <v>0</v>
      </c>
      <c r="K154" s="101">
        <f>IFERROR(IF(D154=_Datum,Prognoseparameter!$C$14,
IF(_WachstumsrateKURZ="Bundesweit",IF(D154&gt;_Datum,
         K153+AVERAGE(F150:F153)*(1+_WR)*(1-(K153-VLOOKUP('Erkrankungs- und Strukturdaten'!$C$45,$D:$M,$K$1,FALSE))/$B$16),
         K155-$B$23*F155),
IF(D154&gt;_Datum,K153+G154,IF(G155="",K155/(K155^(1/N154)),K155-G155)))),"")</f>
        <v>0</v>
      </c>
      <c r="L154" s="64">
        <f>I154/'Erkrankungs- und Strukturdaten'!$C$7</f>
        <v>57394.545454545449</v>
      </c>
      <c r="M154" s="65">
        <f t="shared" si="20"/>
        <v>2.9229547259729946E-3</v>
      </c>
      <c r="N154" s="163">
        <v>151</v>
      </c>
      <c r="O154" s="208">
        <f t="shared" si="17"/>
        <v>1</v>
      </c>
    </row>
    <row r="155" spans="1:15" x14ac:dyDescent="0.2">
      <c r="A155" s="179"/>
      <c r="B155" s="179"/>
      <c r="D155" s="86">
        <v>44009</v>
      </c>
      <c r="E155" s="64">
        <f t="shared" si="16"/>
        <v>36</v>
      </c>
      <c r="F155" s="101">
        <v>36</v>
      </c>
      <c r="G155" s="140"/>
      <c r="H155" s="64">
        <f>E155/'Erkrankungs- und Strukturdaten'!$C$7</f>
        <v>65.454545454545453</v>
      </c>
      <c r="I155" s="64">
        <f t="shared" si="19"/>
        <v>31603</v>
      </c>
      <c r="J155" s="64">
        <f t="shared" si="18"/>
        <v>0</v>
      </c>
      <c r="K155" s="101">
        <f>IFERROR(IF(D155=_Datum,Prognoseparameter!$C$14,
IF(_WachstumsrateKURZ="Bundesweit",IF(D155&gt;_Datum,
         K154+AVERAGE(F151:F154)*(1+_WR)*(1-(K154-VLOOKUP('Erkrankungs- und Strukturdaten'!$C$45,$D:$M,$K$1,FALSE))/$B$16),
         K156-$B$23*F156),
IF(D155&gt;_Datum,K154+G155,IF(G156="",K156/(K156^(1/N155)),K156-G156)))),"")</f>
        <v>0</v>
      </c>
      <c r="L155" s="64">
        <f>I155/'Erkrankungs- und Strukturdaten'!$C$7</f>
        <v>57459.999999999993</v>
      </c>
      <c r="M155" s="65">
        <f t="shared" si="20"/>
        <v>1.1404314632369246E-3</v>
      </c>
      <c r="N155" s="163">
        <v>152</v>
      </c>
      <c r="O155" s="208">
        <f t="shared" si="17"/>
        <v>1</v>
      </c>
    </row>
    <row r="156" spans="1:15" x14ac:dyDescent="0.2">
      <c r="A156" s="179"/>
      <c r="B156" s="179"/>
      <c r="D156" s="86">
        <v>44010</v>
      </c>
      <c r="E156" s="64">
        <f t="shared" si="16"/>
        <v>24</v>
      </c>
      <c r="F156" s="101">
        <v>24</v>
      </c>
      <c r="G156" s="140"/>
      <c r="H156" s="64">
        <f>E156/'Erkrankungs- und Strukturdaten'!$C$7</f>
        <v>43.636363636363633</v>
      </c>
      <c r="I156" s="64">
        <f t="shared" si="19"/>
        <v>31627</v>
      </c>
      <c r="J156" s="64">
        <f t="shared" si="18"/>
        <v>0</v>
      </c>
      <c r="K156" s="101">
        <f>IFERROR(IF(D156=_Datum,Prognoseparameter!$C$14,
IF(_WachstumsrateKURZ="Bundesweit",IF(D156&gt;_Datum,
         K155+AVERAGE(F152:F155)*(1+_WR)*(1-(K155-VLOOKUP('Erkrankungs- und Strukturdaten'!$C$45,$D:$M,$K$1,FALSE))/$B$16),
         K157-$B$23*F157),
IF(D156&gt;_Datum,K155+G156,IF(G157="",K157/(K157^(1/N156)),K157-G157)))),"")</f>
        <v>0</v>
      </c>
      <c r="L156" s="64">
        <f>I156/'Erkrankungs- und Strukturdaten'!$C$7</f>
        <v>57503.63636363636</v>
      </c>
      <c r="M156" s="65">
        <f t="shared" si="20"/>
        <v>7.5942157390121196E-4</v>
      </c>
      <c r="N156" s="163">
        <v>153</v>
      </c>
      <c r="O156" s="208">
        <f t="shared" si="17"/>
        <v>1</v>
      </c>
    </row>
    <row r="157" spans="1:15" x14ac:dyDescent="0.2">
      <c r="A157" s="179"/>
      <c r="B157" s="179"/>
      <c r="D157" s="86">
        <v>44011</v>
      </c>
      <c r="E157" s="64">
        <f t="shared" si="16"/>
        <v>160</v>
      </c>
      <c r="F157" s="101">
        <v>160</v>
      </c>
      <c r="G157" s="140"/>
      <c r="H157" s="64">
        <f>E157/'Erkrankungs- und Strukturdaten'!$C$7</f>
        <v>290.90909090909088</v>
      </c>
      <c r="I157" s="64">
        <f t="shared" si="19"/>
        <v>31787</v>
      </c>
      <c r="J157" s="64">
        <f t="shared" si="18"/>
        <v>0</v>
      </c>
      <c r="K157" s="101">
        <f>IFERROR(IF(D157=_Datum,Prognoseparameter!$C$14,
IF(_WachstumsrateKURZ="Bundesweit",IF(D157&gt;_Datum,
         K156+AVERAGE(F153:F156)*(1+_WR)*(1-(K156-VLOOKUP('Erkrankungs- und Strukturdaten'!$C$45,$D:$M,$K$1,FALSE))/$B$16),
         K158-$B$23*F158),
IF(D157&gt;_Datum,K156+G157,IF(G158="",K158/(K158^(1/N157)),K158-G158)))),"")</f>
        <v>0</v>
      </c>
      <c r="L157" s="64">
        <f>I157/'Erkrankungs- und Strukturdaten'!$C$7</f>
        <v>57794.545454545449</v>
      </c>
      <c r="M157" s="65">
        <f t="shared" si="20"/>
        <v>5.058968602776109E-3</v>
      </c>
      <c r="N157" s="163">
        <v>154</v>
      </c>
      <c r="O157" s="208">
        <f t="shared" si="17"/>
        <v>1</v>
      </c>
    </row>
    <row r="158" spans="1:15" x14ac:dyDescent="0.2">
      <c r="A158" s="179"/>
      <c r="B158" s="179"/>
      <c r="D158" s="86">
        <v>44012</v>
      </c>
      <c r="E158" s="64">
        <f t="shared" si="16"/>
        <v>138</v>
      </c>
      <c r="F158" s="101">
        <v>138</v>
      </c>
      <c r="G158" s="140"/>
      <c r="H158" s="64">
        <f>E158/'Erkrankungs- und Strukturdaten'!$C$7</f>
        <v>250.90909090909088</v>
      </c>
      <c r="I158" s="64">
        <f t="shared" si="19"/>
        <v>31925</v>
      </c>
      <c r="J158" s="64">
        <f t="shared" si="18"/>
        <v>0</v>
      </c>
      <c r="K158" s="101">
        <f>IFERROR(IF(D158=_Datum,Prognoseparameter!$C$14,
IF(_WachstumsrateKURZ="Bundesweit",IF(D158&gt;_Datum,
         K157+AVERAGE(F154:F157)*(1+_WR)*(1-(K157-VLOOKUP('Erkrankungs- und Strukturdaten'!$C$45,$D:$M,$K$1,FALSE))/$B$16),
         K159-$B$23*F159),
IF(D158&gt;_Datum,K157+G158,IF(G159="",K159/(K159^(1/N158)),K159-G159)))),"")</f>
        <v>0</v>
      </c>
      <c r="L158" s="64">
        <f>I158/'Erkrankungs- und Strukturdaten'!$C$7</f>
        <v>58045.454545454544</v>
      </c>
      <c r="M158" s="65">
        <f t="shared" si="20"/>
        <v>4.3413974266209455E-3</v>
      </c>
      <c r="N158" s="163">
        <v>155</v>
      </c>
      <c r="O158" s="208">
        <f t="shared" si="17"/>
        <v>1</v>
      </c>
    </row>
    <row r="159" spans="1:15" x14ac:dyDescent="0.2">
      <c r="A159" s="179"/>
      <c r="B159" s="179"/>
      <c r="D159" s="86">
        <v>44013</v>
      </c>
      <c r="E159" s="64">
        <f t="shared" si="16"/>
        <v>101</v>
      </c>
      <c r="F159" s="101">
        <v>101</v>
      </c>
      <c r="G159" s="140"/>
      <c r="H159" s="64">
        <f>E159/'Erkrankungs- und Strukturdaten'!$C$7</f>
        <v>183.63636363636363</v>
      </c>
      <c r="I159" s="64">
        <f t="shared" si="19"/>
        <v>32026</v>
      </c>
      <c r="J159" s="64">
        <f t="shared" si="18"/>
        <v>0</v>
      </c>
      <c r="K159" s="101">
        <f>IFERROR(IF(D159=_Datum,Prognoseparameter!$C$14,
IF(_WachstumsrateKURZ="Bundesweit",IF(D159&gt;_Datum,
         K158+AVERAGE(F155:F158)*(1+_WR)*(1-(K158-VLOOKUP('Erkrankungs- und Strukturdaten'!$C$45,$D:$M,$K$1,FALSE))/$B$16),
         K160-$B$23*F160),
IF(D159&gt;_Datum,K158+G159,IF(G160="",K160/(K160^(1/N159)),K160-G160)))),"")</f>
        <v>0</v>
      </c>
      <c r="L159" s="64">
        <f>I159/'Erkrankungs- und Strukturdaten'!$C$7</f>
        <v>58229.090909090904</v>
      </c>
      <c r="M159" s="65">
        <f t="shared" si="20"/>
        <v>3.1636648394675021E-3</v>
      </c>
      <c r="N159" s="163">
        <v>156</v>
      </c>
      <c r="O159" s="208">
        <f t="shared" si="17"/>
        <v>1</v>
      </c>
    </row>
    <row r="160" spans="1:15" x14ac:dyDescent="0.2">
      <c r="A160" s="179"/>
      <c r="B160" s="179"/>
      <c r="D160" s="86">
        <v>44014</v>
      </c>
      <c r="E160" s="64">
        <f t="shared" si="16"/>
        <v>127</v>
      </c>
      <c r="F160" s="101">
        <v>127</v>
      </c>
      <c r="G160" s="140"/>
      <c r="H160" s="64">
        <f>E160/'Erkrankungs- und Strukturdaten'!$C$7</f>
        <v>230.90909090909088</v>
      </c>
      <c r="I160" s="64">
        <f t="shared" si="19"/>
        <v>32153</v>
      </c>
      <c r="J160" s="64">
        <f t="shared" si="18"/>
        <v>0</v>
      </c>
      <c r="K160" s="101">
        <f>IFERROR(IF(D160=_Datum,Prognoseparameter!$C$14,
IF(_WachstumsrateKURZ="Bundesweit",IF(D160&gt;_Datum,
         K159+AVERAGE(F156:F159)*(1+_WR)*(1-(K159-VLOOKUP('Erkrankungs- und Strukturdaten'!$C$45,$D:$M,$K$1,FALSE))/$B$16),
         K161-$B$23*F161),
IF(D160&gt;_Datum,K159+G160,IF(G161="",K161/(K161^(1/N160)),K161-G161)))),"")</f>
        <v>0</v>
      </c>
      <c r="L160" s="64">
        <f>I160/'Erkrankungs- und Strukturdaten'!$C$7</f>
        <v>58459.999999999993</v>
      </c>
      <c r="M160" s="65">
        <f t="shared" si="20"/>
        <v>3.9655280084930997E-3</v>
      </c>
      <c r="N160" s="163">
        <v>157</v>
      </c>
      <c r="O160" s="208">
        <f t="shared" si="17"/>
        <v>1</v>
      </c>
    </row>
    <row r="161" spans="1:15" x14ac:dyDescent="0.2">
      <c r="A161" s="179"/>
      <c r="B161" s="179"/>
      <c r="D161" s="86">
        <v>44015</v>
      </c>
      <c r="E161" s="64">
        <f t="shared" si="16"/>
        <v>96</v>
      </c>
      <c r="F161" s="101">
        <v>96</v>
      </c>
      <c r="G161" s="140"/>
      <c r="H161" s="64">
        <f>E161/'Erkrankungs- und Strukturdaten'!$C$7</f>
        <v>174.54545454545453</v>
      </c>
      <c r="I161" s="64">
        <f t="shared" si="19"/>
        <v>32249</v>
      </c>
      <c r="J161" s="64">
        <f t="shared" si="18"/>
        <v>0</v>
      </c>
      <c r="K161" s="101">
        <f>IFERROR(IF(D161=_Datum,Prognoseparameter!$C$14,
IF(_WachstumsrateKURZ="Bundesweit",IF(D161&gt;_Datum,
         K160+AVERAGE(F157:F160)*(1+_WR)*(1-(K160-VLOOKUP('Erkrankungs- und Strukturdaten'!$C$45,$D:$M,$K$1,FALSE))/$B$16),
         K162-$B$23*F162),
IF(D161&gt;_Datum,K160+G161,IF(G162="",K162/(K162^(1/N161)),K162-G162)))),"")</f>
        <v>0</v>
      </c>
      <c r="L161" s="64">
        <f>I161/'Erkrankungs- und Strukturdaten'!$C$7</f>
        <v>58634.545454545449</v>
      </c>
      <c r="M161" s="65">
        <f t="shared" si="20"/>
        <v>2.9857245047118465E-3</v>
      </c>
      <c r="N161" s="163">
        <v>158</v>
      </c>
      <c r="O161" s="208">
        <f t="shared" si="17"/>
        <v>1</v>
      </c>
    </row>
    <row r="162" spans="1:15" x14ac:dyDescent="0.2">
      <c r="A162" s="179"/>
      <c r="B162" s="179"/>
      <c r="D162" s="86">
        <v>44016</v>
      </c>
      <c r="E162" s="64">
        <f t="shared" si="16"/>
        <v>26</v>
      </c>
      <c r="F162" s="101">
        <v>26</v>
      </c>
      <c r="G162" s="140"/>
      <c r="H162" s="64">
        <f>E162/'Erkrankungs- und Strukturdaten'!$C$7</f>
        <v>47.272727272727266</v>
      </c>
      <c r="I162" s="64">
        <f t="shared" si="19"/>
        <v>32275</v>
      </c>
      <c r="J162" s="64">
        <f t="shared" si="18"/>
        <v>0</v>
      </c>
      <c r="K162" s="101">
        <f>IFERROR(IF(D162=_Datum,Prognoseparameter!$C$14,
IF(_WachstumsrateKURZ="Bundesweit",IF(D162&gt;_Datum,
         K161+AVERAGE(F158:F161)*(1+_WR)*(1-(K161-VLOOKUP('Erkrankungs- und Strukturdaten'!$C$45,$D:$M,$K$1,FALSE))/$B$16),
         K163-$B$23*F163),
IF(D162&gt;_Datum,K161+G162,IF(G163="",K163/(K163^(1/N162)),K163-G163)))),"")</f>
        <v>0</v>
      </c>
      <c r="L162" s="64">
        <f>I162/'Erkrankungs- und Strukturdaten'!$C$7</f>
        <v>58681.818181818177</v>
      </c>
      <c r="M162" s="65">
        <f t="shared" si="20"/>
        <v>8.0622654966045458E-4</v>
      </c>
      <c r="N162" s="163">
        <v>159</v>
      </c>
      <c r="O162" s="208">
        <f t="shared" si="17"/>
        <v>1</v>
      </c>
    </row>
    <row r="163" spans="1:15" x14ac:dyDescent="0.2">
      <c r="A163" s="179"/>
      <c r="B163" s="179"/>
      <c r="D163" s="86">
        <v>44017</v>
      </c>
      <c r="E163" s="64">
        <f t="shared" si="16"/>
        <v>36</v>
      </c>
      <c r="F163" s="101">
        <v>36</v>
      </c>
      <c r="G163" s="140"/>
      <c r="H163" s="64">
        <f>E163/'Erkrankungs- und Strukturdaten'!$C$7</f>
        <v>65.454545454545453</v>
      </c>
      <c r="I163" s="64">
        <f t="shared" si="19"/>
        <v>32311</v>
      </c>
      <c r="J163" s="64">
        <f t="shared" si="18"/>
        <v>0</v>
      </c>
      <c r="K163" s="101">
        <f>IFERROR(IF(D163=_Datum,Prognoseparameter!$C$14,
IF(_WachstumsrateKURZ="Bundesweit",IF(D163&gt;_Datum,
         K162+AVERAGE(F159:F162)*(1+_WR)*(1-(K162-VLOOKUP('Erkrankungs- und Strukturdaten'!$C$45,$D:$M,$K$1,FALSE))/$B$16),
         K164-$B$23*F164),
IF(D163&gt;_Datum,K162+G163,IF(G164="",K164/(K164^(1/N163)),K164-G164)))),"")</f>
        <v>0</v>
      </c>
      <c r="L163" s="64">
        <f>I163/'Erkrankungs- und Strukturdaten'!$C$7</f>
        <v>58747.272727272721</v>
      </c>
      <c r="M163" s="65">
        <f t="shared" si="20"/>
        <v>1.115414407436096E-3</v>
      </c>
      <c r="N163" s="163">
        <v>160</v>
      </c>
      <c r="O163" s="208">
        <f t="shared" si="17"/>
        <v>1</v>
      </c>
    </row>
    <row r="164" spans="1:15" x14ac:dyDescent="0.2">
      <c r="A164" s="179"/>
      <c r="B164" s="179"/>
      <c r="D164" s="86">
        <v>44018</v>
      </c>
      <c r="E164" s="64">
        <f t="shared" si="16"/>
        <v>106</v>
      </c>
      <c r="F164" s="101">
        <v>106</v>
      </c>
      <c r="G164" s="140"/>
      <c r="H164" s="64">
        <f>E164/'Erkrankungs- und Strukturdaten'!$C$7</f>
        <v>192.72727272727272</v>
      </c>
      <c r="I164" s="64">
        <f t="shared" si="19"/>
        <v>32417</v>
      </c>
      <c r="J164" s="64">
        <f t="shared" si="18"/>
        <v>0</v>
      </c>
      <c r="K164" s="101">
        <f>IFERROR(IF(D164=_Datum,Prognoseparameter!$C$14,
IF(_WachstumsrateKURZ="Bundesweit",IF(D164&gt;_Datum,
         K163+AVERAGE(F160:F163)*(1+_WR)*(1-(K163-VLOOKUP('Erkrankungs- und Strukturdaten'!$C$45,$D:$M,$K$1,FALSE))/$B$16),
         K165-$B$23*F165),
IF(D164&gt;_Datum,K163+G164,IF(G165="",K165/(K165^(1/N164)),K165-G165)))),"")</f>
        <v>0</v>
      </c>
      <c r="L164" s="64">
        <f>I164/'Erkrankungs- und Strukturdaten'!$C$7</f>
        <v>58939.999999999993</v>
      </c>
      <c r="M164" s="65">
        <f t="shared" si="20"/>
        <v>3.2806165083098635E-3</v>
      </c>
      <c r="N164" s="163">
        <v>161</v>
      </c>
      <c r="O164" s="208">
        <f t="shared" si="17"/>
        <v>1</v>
      </c>
    </row>
    <row r="165" spans="1:15" x14ac:dyDescent="0.2">
      <c r="A165" s="179"/>
      <c r="B165" s="179"/>
      <c r="D165" s="86">
        <v>44019</v>
      </c>
      <c r="E165" s="64">
        <f t="shared" si="16"/>
        <v>107</v>
      </c>
      <c r="F165" s="101">
        <v>107</v>
      </c>
      <c r="G165" s="140"/>
      <c r="H165" s="64">
        <f>E165/'Erkrankungs- und Strukturdaten'!$C$7</f>
        <v>194.54545454545453</v>
      </c>
      <c r="I165" s="64">
        <f t="shared" si="19"/>
        <v>32524</v>
      </c>
      <c r="J165" s="64">
        <f t="shared" si="18"/>
        <v>0</v>
      </c>
      <c r="K165" s="101">
        <f>IFERROR(IF(D165=_Datum,Prognoseparameter!$C$14,
IF(_WachstumsrateKURZ="Bundesweit",IF(D165&gt;_Datum,
         K164+AVERAGE(F161:F164)*(1+_WR)*(1-(K164-VLOOKUP('Erkrankungs- und Strukturdaten'!$C$45,$D:$M,$K$1,FALSE))/$B$16),
         K166-$B$23*F166),
IF(D165&gt;_Datum,K164+G165,IF(G166="",K166/(K166^(1/N165)),K166-G166)))),"")</f>
        <v>0</v>
      </c>
      <c r="L165" s="64">
        <f>I165/'Erkrankungs- und Strukturdaten'!$C$7</f>
        <v>59134.545454545449</v>
      </c>
      <c r="M165" s="65">
        <f t="shared" si="20"/>
        <v>3.3007372674831105E-3</v>
      </c>
      <c r="N165" s="163">
        <v>162</v>
      </c>
      <c r="O165" s="208">
        <f t="shared" si="17"/>
        <v>1</v>
      </c>
    </row>
    <row r="166" spans="1:15" x14ac:dyDescent="0.2">
      <c r="A166" s="179"/>
      <c r="B166" s="179"/>
      <c r="D166" s="86">
        <v>44020</v>
      </c>
      <c r="E166" s="64">
        <f t="shared" si="16"/>
        <v>97</v>
      </c>
      <c r="F166" s="101">
        <v>97</v>
      </c>
      <c r="G166" s="140"/>
      <c r="H166" s="64">
        <f>E166/'Erkrankungs- und Strukturdaten'!$C$7</f>
        <v>176.36363636363635</v>
      </c>
      <c r="I166" s="64">
        <f t="shared" si="19"/>
        <v>32621</v>
      </c>
      <c r="J166" s="64">
        <f t="shared" si="18"/>
        <v>0</v>
      </c>
      <c r="K166" s="101">
        <f>IFERROR(IF(D166=_Datum,Prognoseparameter!$C$14,
IF(_WachstumsrateKURZ="Bundesweit",IF(D166&gt;_Datum,
         K165+AVERAGE(F162:F165)*(1+_WR)*(1-(K165-VLOOKUP('Erkrankungs- und Strukturdaten'!$C$45,$D:$M,$K$1,FALSE))/$B$16),
         K167-$B$23*F167),
IF(D166&gt;_Datum,K165+G166,IF(G167="",K167/(K167^(1/N166)),K167-G167)))),"")</f>
        <v>0</v>
      </c>
      <c r="L166" s="64">
        <f>I166/'Erkrankungs- und Strukturdaten'!$C$7</f>
        <v>59310.909090909088</v>
      </c>
      <c r="M166" s="65">
        <f t="shared" si="20"/>
        <v>2.9824129873324313E-3</v>
      </c>
      <c r="N166" s="163">
        <v>163</v>
      </c>
      <c r="O166" s="208">
        <f t="shared" si="17"/>
        <v>1</v>
      </c>
    </row>
    <row r="167" spans="1:15" x14ac:dyDescent="0.2">
      <c r="A167" s="179"/>
      <c r="B167" s="179"/>
      <c r="D167" s="86">
        <v>44021</v>
      </c>
      <c r="E167" s="64">
        <f t="shared" si="16"/>
        <v>97</v>
      </c>
      <c r="F167" s="101">
        <v>97</v>
      </c>
      <c r="G167" s="140"/>
      <c r="H167" s="64">
        <f>E167/'Erkrankungs- und Strukturdaten'!$C$7</f>
        <v>176.36363636363635</v>
      </c>
      <c r="I167" s="64">
        <f t="shared" si="19"/>
        <v>32718</v>
      </c>
      <c r="J167" s="64">
        <f t="shared" si="18"/>
        <v>0</v>
      </c>
      <c r="K167" s="101">
        <f>IFERROR(IF(D167=_Datum,Prognoseparameter!$C$14,
IF(_WachstumsrateKURZ="Bundesweit",IF(D167&gt;_Datum,
         K166+AVERAGE(F163:F166)*(1+_WR)*(1-(K166-VLOOKUP('Erkrankungs- und Strukturdaten'!$C$45,$D:$M,$K$1,FALSE))/$B$16),
         K168-$B$23*F168),
IF(D167&gt;_Datum,K166+G167,IF(G168="",K168/(K168^(1/N167)),K168-G168)))),"")</f>
        <v>0</v>
      </c>
      <c r="L167" s="64">
        <f>I167/'Erkrankungs- und Strukturdaten'!$C$7</f>
        <v>59487.272727272721</v>
      </c>
      <c r="M167" s="65">
        <f t="shared" si="20"/>
        <v>2.9735446491523866E-3</v>
      </c>
      <c r="N167" s="163">
        <v>164</v>
      </c>
      <c r="O167" s="208">
        <f t="shared" si="17"/>
        <v>1</v>
      </c>
    </row>
    <row r="168" spans="1:15" x14ac:dyDescent="0.2">
      <c r="A168" s="179"/>
      <c r="B168" s="179"/>
      <c r="D168" s="86">
        <v>44022</v>
      </c>
      <c r="E168" s="64">
        <f t="shared" si="16"/>
        <v>111</v>
      </c>
      <c r="F168" s="101">
        <v>111</v>
      </c>
      <c r="G168" s="140"/>
      <c r="H168" s="64">
        <f>E168/'Erkrankungs- und Strukturdaten'!$C$7</f>
        <v>201.81818181818181</v>
      </c>
      <c r="I168" s="64">
        <f t="shared" si="19"/>
        <v>32829</v>
      </c>
      <c r="J168" s="64">
        <f t="shared" si="18"/>
        <v>0</v>
      </c>
      <c r="K168" s="101">
        <f>IFERROR(IF(D168=_Datum,Prognoseparameter!$C$14,
IF(_WachstumsrateKURZ="Bundesweit",IF(D168&gt;_Datum,
         K167+AVERAGE(F164:F167)*(1+_WR)*(1-(K167-VLOOKUP('Erkrankungs- und Strukturdaten'!$C$45,$D:$M,$K$1,FALSE))/$B$16),
         K169-$B$23*F169),
IF(D168&gt;_Datum,K167+G168,IF(G169="",K169/(K169^(1/N168)),K169-G169)))),"")</f>
        <v>0</v>
      </c>
      <c r="L168" s="64">
        <f>I168/'Erkrankungs- und Strukturdaten'!$C$7</f>
        <v>59689.090909090904</v>
      </c>
      <c r="M168" s="65">
        <f t="shared" si="20"/>
        <v>3.3926279112415185E-3</v>
      </c>
      <c r="N168" s="163">
        <v>165</v>
      </c>
      <c r="O168" s="208">
        <f t="shared" si="17"/>
        <v>1</v>
      </c>
    </row>
    <row r="169" spans="1:15" x14ac:dyDescent="0.2">
      <c r="A169" s="179"/>
      <c r="B169" s="179"/>
      <c r="D169" s="86">
        <v>44023</v>
      </c>
      <c r="E169" s="64">
        <f t="shared" si="16"/>
        <v>71</v>
      </c>
      <c r="F169" s="101">
        <v>71</v>
      </c>
      <c r="G169" s="140"/>
      <c r="H169" s="64">
        <f>E169/'Erkrankungs- und Strukturdaten'!$C$7</f>
        <v>129.09090909090909</v>
      </c>
      <c r="I169" s="64">
        <f t="shared" si="19"/>
        <v>32900</v>
      </c>
      <c r="J169" s="64">
        <f t="shared" si="18"/>
        <v>0</v>
      </c>
      <c r="K169" s="101">
        <f>IFERROR(IF(D169=_Datum,Prognoseparameter!$C$14,
IF(_WachstumsrateKURZ="Bundesweit",IF(D169&gt;_Datum,
         K168+AVERAGE(F165:F168)*(1+_WR)*(1-(K168-VLOOKUP('Erkrankungs- und Strukturdaten'!$C$45,$D:$M,$K$1,FALSE))/$B$16),
         K170-$B$23*F170),
IF(D169&gt;_Datum,K168+G169,IF(G170="",K170/(K170^(1/N169)),K170-G170)))),"")</f>
        <v>0</v>
      </c>
      <c r="L169" s="64">
        <f>I169/'Erkrankungs- und Strukturdaten'!$C$7</f>
        <v>59818.181818181816</v>
      </c>
      <c r="M169" s="65">
        <f t="shared" si="20"/>
        <v>2.1627219836120501E-3</v>
      </c>
      <c r="N169" s="163">
        <v>166</v>
      </c>
      <c r="O169" s="208">
        <f t="shared" si="17"/>
        <v>1</v>
      </c>
    </row>
    <row r="170" spans="1:15" x14ac:dyDescent="0.2">
      <c r="A170" s="179"/>
      <c r="B170" s="179"/>
      <c r="D170" s="86">
        <v>44024</v>
      </c>
      <c r="E170" s="64">
        <f t="shared" si="16"/>
        <v>46</v>
      </c>
      <c r="F170" s="101">
        <v>46</v>
      </c>
      <c r="G170" s="140"/>
      <c r="H170" s="64">
        <f>E170/'Erkrankungs- und Strukturdaten'!$C$7</f>
        <v>83.636363636363626</v>
      </c>
      <c r="I170" s="64">
        <f t="shared" si="19"/>
        <v>32946</v>
      </c>
      <c r="J170" s="64">
        <f t="shared" si="18"/>
        <v>0</v>
      </c>
      <c r="K170" s="101">
        <f>IFERROR(IF(D170=_Datum,Prognoseparameter!$C$14,
IF(_WachstumsrateKURZ="Bundesweit",IF(D170&gt;_Datum,
         K169+AVERAGE(F166:F169)*(1+_WR)*(1-(K169-VLOOKUP('Erkrankungs- und Strukturdaten'!$C$45,$D:$M,$K$1,FALSE))/$B$16),
         K171-$B$23*F171),
IF(D170&gt;_Datum,K169+G170,IF(G171="",K171/(K171^(1/N170)),K171-G171)))),"")</f>
        <v>0</v>
      </c>
      <c r="L170" s="64">
        <f>I170/'Erkrankungs- und Strukturdaten'!$C$7</f>
        <v>59901.818181818177</v>
      </c>
      <c r="M170" s="65">
        <f t="shared" si="20"/>
        <v>1.3981762917933131E-3</v>
      </c>
      <c r="N170" s="163">
        <v>167</v>
      </c>
      <c r="O170" s="208">
        <f t="shared" si="17"/>
        <v>1</v>
      </c>
    </row>
    <row r="171" spans="1:15" x14ac:dyDescent="0.2">
      <c r="A171" s="179"/>
      <c r="B171" s="179"/>
      <c r="D171" s="86">
        <v>44025</v>
      </c>
      <c r="E171" s="64">
        <f t="shared" si="16"/>
        <v>120</v>
      </c>
      <c r="F171" s="101">
        <v>120</v>
      </c>
      <c r="G171" s="140"/>
      <c r="H171" s="64">
        <f>E171/'Erkrankungs- und Strukturdaten'!$C$7</f>
        <v>218.18181818181816</v>
      </c>
      <c r="I171" s="64">
        <f t="shared" si="19"/>
        <v>33066</v>
      </c>
      <c r="J171" s="64">
        <f t="shared" si="18"/>
        <v>0</v>
      </c>
      <c r="K171" s="101">
        <f>IFERROR(IF(D171=_Datum,Prognoseparameter!$C$14,
IF(_WachstumsrateKURZ="Bundesweit",IF(D171&gt;_Datum,
         K170+AVERAGE(F167:F170)*(1+_WR)*(1-(K170-VLOOKUP('Erkrankungs- und Strukturdaten'!$C$45,$D:$M,$K$1,FALSE))/$B$16),
         K172-$B$23*F172),
IF(D171&gt;_Datum,K170+G171,IF(G172="",K172/(K172^(1/N171)),K172-G172)))),"")</f>
        <v>0</v>
      </c>
      <c r="L171" s="64">
        <f>I171/'Erkrankungs- und Strukturdaten'!$C$7</f>
        <v>60119.999999999993</v>
      </c>
      <c r="M171" s="65">
        <f t="shared" si="20"/>
        <v>3.64232380258605E-3</v>
      </c>
      <c r="N171" s="163">
        <v>168</v>
      </c>
      <c r="O171" s="208">
        <f t="shared" si="17"/>
        <v>1</v>
      </c>
    </row>
    <row r="172" spans="1:15" x14ac:dyDescent="0.2">
      <c r="A172" s="179"/>
      <c r="B172" s="179"/>
      <c r="D172" s="86">
        <v>44026</v>
      </c>
      <c r="E172" s="64">
        <f t="shared" si="16"/>
        <v>129</v>
      </c>
      <c r="F172" s="101">
        <v>129</v>
      </c>
      <c r="G172" s="140"/>
      <c r="H172" s="64">
        <f>E172/'Erkrankungs- und Strukturdaten'!$C$7</f>
        <v>234.54545454545453</v>
      </c>
      <c r="I172" s="64">
        <f t="shared" si="19"/>
        <v>33195</v>
      </c>
      <c r="J172" s="64">
        <f t="shared" si="18"/>
        <v>0</v>
      </c>
      <c r="K172" s="101">
        <f>IFERROR(IF(D172=_Datum,Prognoseparameter!$C$14,
IF(_WachstumsrateKURZ="Bundesweit",IF(D172&gt;_Datum,
         K171+AVERAGE(F168:F171)*(1+_WR)*(1-(K171-VLOOKUP('Erkrankungs- und Strukturdaten'!$C$45,$D:$M,$K$1,FALSE))/$B$16),
         K173-$B$23*F173),
IF(D172&gt;_Datum,K171+G172,IF(G173="",K173/(K173^(1/N172)),K173-G173)))),"")</f>
        <v>0</v>
      </c>
      <c r="L172" s="64">
        <f>I172/'Erkrankungs- und Strukturdaten'!$C$7</f>
        <v>60354.545454545449</v>
      </c>
      <c r="M172" s="65">
        <f t="shared" si="20"/>
        <v>3.9012883324260569E-3</v>
      </c>
      <c r="N172" s="163">
        <v>169</v>
      </c>
      <c r="O172" s="208">
        <f t="shared" si="17"/>
        <v>1</v>
      </c>
    </row>
    <row r="173" spans="1:15" x14ac:dyDescent="0.2">
      <c r="A173" s="179"/>
      <c r="B173" s="179"/>
      <c r="D173" s="86">
        <v>44027</v>
      </c>
      <c r="E173" s="64">
        <f t="shared" si="16"/>
        <v>123</v>
      </c>
      <c r="F173" s="101">
        <v>123</v>
      </c>
      <c r="G173" s="140"/>
      <c r="H173" s="64">
        <f>E173/'Erkrankungs- und Strukturdaten'!$C$7</f>
        <v>223.63636363636363</v>
      </c>
      <c r="I173" s="64">
        <f t="shared" si="19"/>
        <v>33318</v>
      </c>
      <c r="J173" s="64">
        <f t="shared" si="18"/>
        <v>0</v>
      </c>
      <c r="K173" s="101">
        <f>IFERROR(IF(D173=_Datum,Prognoseparameter!$C$14,
IF(_WachstumsrateKURZ="Bundesweit",IF(D173&gt;_Datum,
         K172+AVERAGE(F169:F172)*(1+_WR)*(1-(K172-VLOOKUP('Erkrankungs- und Strukturdaten'!$C$45,$D:$M,$K$1,FALSE))/$B$16),
         K174-$B$23*F174),
IF(D173&gt;_Datum,K172+G173,IF(G174="",K174/(K174^(1/N173)),K174-G174)))),"")</f>
        <v>0</v>
      </c>
      <c r="L173" s="64">
        <f>I173/'Erkrankungs- und Strukturdaten'!$C$7</f>
        <v>60578.181818181816</v>
      </c>
      <c r="M173" s="65">
        <f t="shared" si="20"/>
        <v>3.7053773158608225E-3</v>
      </c>
      <c r="N173" s="163">
        <v>170</v>
      </c>
      <c r="O173" s="208">
        <f t="shared" si="17"/>
        <v>1</v>
      </c>
    </row>
    <row r="174" spans="1:15" x14ac:dyDescent="0.2">
      <c r="A174" s="179"/>
      <c r="B174" s="179"/>
      <c r="D174" s="86">
        <v>44028</v>
      </c>
      <c r="E174" s="64">
        <f t="shared" si="16"/>
        <v>106</v>
      </c>
      <c r="F174" s="101">
        <v>106</v>
      </c>
      <c r="G174" s="140"/>
      <c r="H174" s="64">
        <f>E174/'Erkrankungs- und Strukturdaten'!$C$7</f>
        <v>192.72727272727272</v>
      </c>
      <c r="I174" s="64">
        <f t="shared" si="19"/>
        <v>33424</v>
      </c>
      <c r="J174" s="64">
        <f t="shared" si="18"/>
        <v>0</v>
      </c>
      <c r="K174" s="101">
        <f>IFERROR(IF(D174=_Datum,Prognoseparameter!$C$14,
IF(_WachstumsrateKURZ="Bundesweit",IF(D174&gt;_Datum,
         K173+AVERAGE(F170:F173)*(1+_WR)*(1-(K173-VLOOKUP('Erkrankungs- und Strukturdaten'!$C$45,$D:$M,$K$1,FALSE))/$B$16),
         K175-$B$23*F175),
IF(D174&gt;_Datum,K173+G174,IF(G175="",K175/(K175^(1/N174)),K175-G175)))),"")</f>
        <v>0</v>
      </c>
      <c r="L174" s="64">
        <f>I174/'Erkrankungs- und Strukturdaten'!$C$7</f>
        <v>60770.909090909088</v>
      </c>
      <c r="M174" s="65">
        <f t="shared" si="20"/>
        <v>3.181463473197671E-3</v>
      </c>
      <c r="N174" s="163">
        <v>171</v>
      </c>
      <c r="O174" s="208">
        <f t="shared" si="17"/>
        <v>1</v>
      </c>
    </row>
    <row r="175" spans="1:15" x14ac:dyDescent="0.2">
      <c r="A175" s="179"/>
      <c r="B175" s="179"/>
      <c r="D175" s="86">
        <v>44029</v>
      </c>
      <c r="E175" s="64">
        <f t="shared" si="16"/>
        <v>115</v>
      </c>
      <c r="F175" s="101">
        <v>115</v>
      </c>
      <c r="G175" s="140"/>
      <c r="H175" s="64">
        <f>E175/'Erkrankungs- und Strukturdaten'!$C$7</f>
        <v>209.09090909090907</v>
      </c>
      <c r="I175" s="64">
        <f t="shared" si="19"/>
        <v>33539</v>
      </c>
      <c r="J175" s="64">
        <f t="shared" si="18"/>
        <v>0</v>
      </c>
      <c r="K175" s="101">
        <f>IFERROR(IF(D175=_Datum,Prognoseparameter!$C$14,
IF(_WachstumsrateKURZ="Bundesweit",IF(D175&gt;_Datum,
         K174+AVERAGE(F171:F174)*(1+_WR)*(1-(K174-VLOOKUP('Erkrankungs- und Strukturdaten'!$C$45,$D:$M,$K$1,FALSE))/$B$16),
         K176-$B$23*F176),
IF(D175&gt;_Datum,K174+G175,IF(G176="",K176/(K176^(1/N175)),K176-G176)))),"")</f>
        <v>0</v>
      </c>
      <c r="L175" s="64">
        <f>I175/'Erkrankungs- und Strukturdaten'!$C$7</f>
        <v>60979.999999999993</v>
      </c>
      <c r="M175" s="65">
        <f t="shared" si="20"/>
        <v>3.4406414552417427E-3</v>
      </c>
      <c r="N175" s="163">
        <v>172</v>
      </c>
      <c r="O175" s="208">
        <f t="shared" si="17"/>
        <v>1</v>
      </c>
    </row>
    <row r="176" spans="1:15" x14ac:dyDescent="0.2">
      <c r="A176" s="179"/>
      <c r="B176" s="179"/>
      <c r="D176" s="86">
        <v>44030</v>
      </c>
      <c r="E176" s="64">
        <f t="shared" si="16"/>
        <v>80</v>
      </c>
      <c r="F176" s="101">
        <v>80</v>
      </c>
      <c r="G176" s="140"/>
      <c r="H176" s="64">
        <f>E176/'Erkrankungs- und Strukturdaten'!$C$7</f>
        <v>145.45454545454544</v>
      </c>
      <c r="I176" s="64">
        <f t="shared" si="19"/>
        <v>33619</v>
      </c>
      <c r="J176" s="64">
        <f t="shared" si="18"/>
        <v>0</v>
      </c>
      <c r="K176" s="101">
        <f>IFERROR(IF(D176=_Datum,Prognoseparameter!$C$14,
IF(_WachstumsrateKURZ="Bundesweit",IF(D176&gt;_Datum,
         K175+AVERAGE(F172:F175)*(1+_WR)*(1-(K175-VLOOKUP('Erkrankungs- und Strukturdaten'!$C$45,$D:$M,$K$1,FALSE))/$B$16),
         K177-$B$23*F177),
IF(D176&gt;_Datum,K175+G176,IF(G177="",K177/(K177^(1/N176)),K177-G177)))),"")</f>
        <v>0</v>
      </c>
      <c r="L176" s="64">
        <f>I176/'Erkrankungs- und Strukturdaten'!$C$7</f>
        <v>61125.454545454544</v>
      </c>
      <c r="M176" s="65">
        <f t="shared" si="20"/>
        <v>2.3852828050925788E-3</v>
      </c>
      <c r="N176" s="163">
        <v>173</v>
      </c>
      <c r="O176" s="208">
        <f t="shared" si="17"/>
        <v>1</v>
      </c>
    </row>
    <row r="177" spans="1:15" x14ac:dyDescent="0.2">
      <c r="A177" s="179"/>
      <c r="B177" s="179"/>
      <c r="D177" s="86">
        <v>44031</v>
      </c>
      <c r="E177" s="64">
        <f t="shared" si="16"/>
        <v>42</v>
      </c>
      <c r="F177" s="101">
        <v>42</v>
      </c>
      <c r="G177" s="140"/>
      <c r="H177" s="64">
        <f>E177/'Erkrankungs- und Strukturdaten'!$C$7</f>
        <v>76.36363636363636</v>
      </c>
      <c r="I177" s="64">
        <f t="shared" si="19"/>
        <v>33661</v>
      </c>
      <c r="J177" s="64">
        <f t="shared" si="18"/>
        <v>0</v>
      </c>
      <c r="K177" s="101">
        <f>IFERROR(IF(D177=_Datum,Prognoseparameter!$C$14,
IF(_WachstumsrateKURZ="Bundesweit",IF(D177&gt;_Datum,
         K176+AVERAGE(F173:F176)*(1+_WR)*(1-(K176-VLOOKUP('Erkrankungs- und Strukturdaten'!$C$45,$D:$M,$K$1,FALSE))/$B$16),
         K178-$B$23*F178),
IF(D177&gt;_Datum,K176+G177,IF(G178="",K178/(K178^(1/N177)),K178-G178)))),"")</f>
        <v>0</v>
      </c>
      <c r="L177" s="64">
        <f>I177/'Erkrankungs- und Strukturdaten'!$C$7</f>
        <v>61201.818181818177</v>
      </c>
      <c r="M177" s="65">
        <f t="shared" si="20"/>
        <v>1.2492935542401619E-3</v>
      </c>
      <c r="N177" s="163">
        <v>174</v>
      </c>
      <c r="O177" s="208">
        <f t="shared" si="17"/>
        <v>1</v>
      </c>
    </row>
    <row r="178" spans="1:15" x14ac:dyDescent="0.2">
      <c r="A178" s="179"/>
      <c r="B178" s="179"/>
      <c r="D178" s="86">
        <v>44032</v>
      </c>
      <c r="E178" s="64">
        <f t="shared" si="16"/>
        <v>127</v>
      </c>
      <c r="F178" s="101">
        <v>127</v>
      </c>
      <c r="G178" s="140"/>
      <c r="H178" s="64">
        <f>E178/'Erkrankungs- und Strukturdaten'!$C$7</f>
        <v>230.90909090909088</v>
      </c>
      <c r="I178" s="64">
        <f t="shared" si="19"/>
        <v>33788</v>
      </c>
      <c r="J178" s="64">
        <f t="shared" si="18"/>
        <v>0</v>
      </c>
      <c r="K178" s="101">
        <f>IFERROR(IF(D178=_Datum,Prognoseparameter!$C$14,
IF(_WachstumsrateKURZ="Bundesweit",IF(D178&gt;_Datum,
         K177+AVERAGE(F174:F177)*(1+_WR)*(1-(K177-VLOOKUP('Erkrankungs- und Strukturdaten'!$C$45,$D:$M,$K$1,FALSE))/$B$16),
         K179-$B$23*F179),
IF(D178&gt;_Datum,K177+G178,IF(G179="",K179/(K179^(1/N178)),K179-G179)))),"")</f>
        <v>0</v>
      </c>
      <c r="L178" s="64">
        <f>I178/'Erkrankungs- und Strukturdaten'!$C$7</f>
        <v>61432.727272727265</v>
      </c>
      <c r="M178" s="65">
        <f t="shared" si="20"/>
        <v>3.7729122723626747E-3</v>
      </c>
      <c r="N178" s="163">
        <v>175</v>
      </c>
      <c r="O178" s="208">
        <f t="shared" si="17"/>
        <v>1</v>
      </c>
    </row>
    <row r="179" spans="1:15" x14ac:dyDescent="0.2">
      <c r="A179" s="179"/>
      <c r="B179" s="179"/>
      <c r="D179" s="86">
        <v>44033</v>
      </c>
      <c r="E179" s="64">
        <f t="shared" si="16"/>
        <v>138</v>
      </c>
      <c r="F179" s="101">
        <v>138</v>
      </c>
      <c r="G179" s="140"/>
      <c r="H179" s="64">
        <f>E179/'Erkrankungs- und Strukturdaten'!$C$7</f>
        <v>250.90909090909088</v>
      </c>
      <c r="I179" s="64">
        <f t="shared" si="19"/>
        <v>33926</v>
      </c>
      <c r="J179" s="64">
        <f t="shared" si="18"/>
        <v>0</v>
      </c>
      <c r="K179" s="101">
        <f>IFERROR(IF(D179=_Datum,Prognoseparameter!$C$14,
IF(_WachstumsrateKURZ="Bundesweit",IF(D179&gt;_Datum,
         K178+AVERAGE(F175:F178)*(1+_WR)*(1-(K178-VLOOKUP('Erkrankungs- und Strukturdaten'!$C$45,$D:$M,$K$1,FALSE))/$B$16),
         K180-$B$23*F180),
IF(D179&gt;_Datum,K178+G179,IF(G180="",K180/(K180^(1/N179)),K180-G180)))),"")</f>
        <v>0</v>
      </c>
      <c r="L179" s="64">
        <f>I179/'Erkrankungs- und Strukturdaten'!$C$7</f>
        <v>61683.63636363636</v>
      </c>
      <c r="M179" s="65">
        <f t="shared" si="20"/>
        <v>4.0842902805729841E-3</v>
      </c>
      <c r="N179" s="163">
        <v>176</v>
      </c>
      <c r="O179" s="208">
        <f t="shared" si="17"/>
        <v>1</v>
      </c>
    </row>
    <row r="180" spans="1:15" x14ac:dyDescent="0.2">
      <c r="A180" s="179"/>
      <c r="B180" s="179"/>
      <c r="D180" s="86">
        <v>44034</v>
      </c>
      <c r="E180" s="64">
        <f t="shared" si="16"/>
        <v>118</v>
      </c>
      <c r="F180" s="101">
        <v>118</v>
      </c>
      <c r="G180" s="140"/>
      <c r="H180" s="64">
        <f>E180/'Erkrankungs- und Strukturdaten'!$C$7</f>
        <v>214.54545454545453</v>
      </c>
      <c r="I180" s="64">
        <f t="shared" si="19"/>
        <v>34044</v>
      </c>
      <c r="J180" s="64">
        <f t="shared" si="18"/>
        <v>0</v>
      </c>
      <c r="K180" s="101">
        <f>IFERROR(IF(D180=_Datum,Prognoseparameter!$C$14,
IF(_WachstumsrateKURZ="Bundesweit",IF(D180&gt;_Datum,
         K179+AVERAGE(F176:F179)*(1+_WR)*(1-(K179-VLOOKUP('Erkrankungs- und Strukturdaten'!$C$45,$D:$M,$K$1,FALSE))/$B$16),
         K181-$B$23*F181),
IF(D180&gt;_Datum,K179+G180,IF(G181="",K181/(K181^(1/N180)),K181-G181)))),"")</f>
        <v>0</v>
      </c>
      <c r="L180" s="64">
        <f>I180/'Erkrankungs- und Strukturdaten'!$C$7</f>
        <v>61898.181818181816</v>
      </c>
      <c r="M180" s="65">
        <f t="shared" si="20"/>
        <v>3.4781583446324353E-3</v>
      </c>
      <c r="N180" s="163">
        <v>177</v>
      </c>
      <c r="O180" s="208">
        <f t="shared" si="17"/>
        <v>1</v>
      </c>
    </row>
    <row r="181" spans="1:15" x14ac:dyDescent="0.2">
      <c r="A181" s="179"/>
      <c r="B181" s="179"/>
      <c r="D181" s="86">
        <v>44035</v>
      </c>
      <c r="E181" s="64">
        <f t="shared" si="16"/>
        <v>143</v>
      </c>
      <c r="F181" s="101">
        <v>143</v>
      </c>
      <c r="G181" s="140"/>
      <c r="H181" s="64">
        <f>E181/'Erkrankungs- und Strukturdaten'!$C$7</f>
        <v>260</v>
      </c>
      <c r="I181" s="64">
        <f t="shared" si="19"/>
        <v>34187</v>
      </c>
      <c r="J181" s="64">
        <f t="shared" si="18"/>
        <v>0</v>
      </c>
      <c r="K181" s="101">
        <f>IFERROR(IF(D181=_Datum,Prognoseparameter!$C$14,
IF(_WachstumsrateKURZ="Bundesweit",IF(D181&gt;_Datum,
         K180+AVERAGE(F177:F180)*(1+_WR)*(1-(K180-VLOOKUP('Erkrankungs- und Strukturdaten'!$C$45,$D:$M,$K$1,FALSE))/$B$16),
         K182-$B$23*F182),
IF(D181&gt;_Datum,K180+G181,IF(G182="",K182/(K182^(1/N181)),K182-G182)))),"")</f>
        <v>0</v>
      </c>
      <c r="L181" s="64">
        <f>I181/'Erkrankungs- und Strukturdaten'!$C$7</f>
        <v>62158.181818181816</v>
      </c>
      <c r="M181" s="65">
        <f t="shared" si="20"/>
        <v>4.2004464810245562E-3</v>
      </c>
      <c r="N181" s="163">
        <v>178</v>
      </c>
      <c r="O181" s="208">
        <f t="shared" si="17"/>
        <v>1</v>
      </c>
    </row>
    <row r="182" spans="1:15" x14ac:dyDescent="0.2">
      <c r="A182" s="179"/>
      <c r="B182" s="179"/>
      <c r="D182" s="86">
        <v>44036</v>
      </c>
      <c r="E182" s="64">
        <f t="shared" si="16"/>
        <v>148</v>
      </c>
      <c r="F182" s="101">
        <v>148</v>
      </c>
      <c r="G182" s="140"/>
      <c r="H182" s="64">
        <f>E182/'Erkrankungs- und Strukturdaten'!$C$7</f>
        <v>269.09090909090907</v>
      </c>
      <c r="I182" s="64">
        <f t="shared" si="19"/>
        <v>34335</v>
      </c>
      <c r="J182" s="64">
        <f t="shared" si="18"/>
        <v>0</v>
      </c>
      <c r="K182" s="101">
        <f>IFERROR(IF(D182=_Datum,Prognoseparameter!$C$14,
IF(_WachstumsrateKURZ="Bundesweit",IF(D182&gt;_Datum,
         K181+AVERAGE(F178:F181)*(1+_WR)*(1-(K181-VLOOKUP('Erkrankungs- und Strukturdaten'!$C$45,$D:$M,$K$1,FALSE))/$B$16),
         K183-$B$23*F183),
IF(D182&gt;_Datum,K181+G182,IF(G183="",K183/(K183^(1/N182)),K183-G183)))),"")</f>
        <v>0</v>
      </c>
      <c r="L182" s="64">
        <f>I182/'Erkrankungs- und Strukturdaten'!$C$7</f>
        <v>62427.272727272721</v>
      </c>
      <c r="M182" s="65">
        <f t="shared" si="20"/>
        <v>4.3291309562114256E-3</v>
      </c>
      <c r="N182" s="163">
        <v>179</v>
      </c>
      <c r="O182" s="208">
        <f t="shared" si="17"/>
        <v>1</v>
      </c>
    </row>
    <row r="183" spans="1:15" x14ac:dyDescent="0.2">
      <c r="A183" s="179"/>
      <c r="B183" s="179"/>
      <c r="D183" s="86">
        <v>44037</v>
      </c>
      <c r="E183" s="64">
        <f t="shared" si="16"/>
        <v>95</v>
      </c>
      <c r="F183" s="101">
        <v>95</v>
      </c>
      <c r="G183" s="140"/>
      <c r="H183" s="64">
        <f>E183/'Erkrankungs- und Strukturdaten'!$C$7</f>
        <v>172.72727272727272</v>
      </c>
      <c r="I183" s="64">
        <f t="shared" si="19"/>
        <v>34430</v>
      </c>
      <c r="J183" s="64">
        <f t="shared" si="18"/>
        <v>0</v>
      </c>
      <c r="K183" s="101">
        <f>IFERROR(IF(D183=_Datum,Prognoseparameter!$C$14,
IF(_WachstumsrateKURZ="Bundesweit",IF(D183&gt;_Datum,
         K182+AVERAGE(F179:F182)*(1+_WR)*(1-(K182-VLOOKUP('Erkrankungs- und Strukturdaten'!$C$45,$D:$M,$K$1,FALSE))/$B$16),
         K184-$B$23*F184),
IF(D183&gt;_Datum,K182+G183,IF(G184="",K184/(K184^(1/N183)),K184-G184)))),"")</f>
        <v>0</v>
      </c>
      <c r="L183" s="64">
        <f>I183/'Erkrankungs- und Strukturdaten'!$C$7</f>
        <v>62599.999999999993</v>
      </c>
      <c r="M183" s="65">
        <f t="shared" si="20"/>
        <v>2.7668559778651521E-3</v>
      </c>
      <c r="N183" s="163">
        <v>180</v>
      </c>
      <c r="O183" s="208">
        <f t="shared" si="17"/>
        <v>1</v>
      </c>
    </row>
    <row r="184" spans="1:15" x14ac:dyDescent="0.2">
      <c r="A184" s="179"/>
      <c r="B184" s="179"/>
      <c r="D184" s="86">
        <v>44038</v>
      </c>
      <c r="E184" s="64">
        <f t="shared" si="16"/>
        <v>57</v>
      </c>
      <c r="F184" s="101">
        <v>57</v>
      </c>
      <c r="G184" s="140"/>
      <c r="H184" s="64">
        <f>E184/'Erkrankungs- und Strukturdaten'!$C$7</f>
        <v>103.63636363636363</v>
      </c>
      <c r="I184" s="64">
        <f t="shared" si="19"/>
        <v>34487</v>
      </c>
      <c r="J184" s="64">
        <f t="shared" si="18"/>
        <v>0</v>
      </c>
      <c r="K184" s="101">
        <f>IFERROR(IF(D184=_Datum,Prognoseparameter!$C$14,
IF(_WachstumsrateKURZ="Bundesweit",IF(D184&gt;_Datum,
         K183+AVERAGE(F180:F183)*(1+_WR)*(1-(K183-VLOOKUP('Erkrankungs- und Strukturdaten'!$C$45,$D:$M,$K$1,FALSE))/$B$16),
         K185-$B$23*F185),
IF(D184&gt;_Datum,K183+G184,IF(G185="",K185/(K185^(1/N184)),K185-G185)))),"")</f>
        <v>0</v>
      </c>
      <c r="L184" s="64">
        <f>I184/'Erkrankungs- und Strukturdaten'!$C$7</f>
        <v>62703.63636363636</v>
      </c>
      <c r="M184" s="65">
        <f t="shared" si="20"/>
        <v>1.6555329654371188E-3</v>
      </c>
      <c r="N184" s="163">
        <v>181</v>
      </c>
      <c r="O184" s="208">
        <f t="shared" si="17"/>
        <v>1</v>
      </c>
    </row>
    <row r="185" spans="1:15" x14ac:dyDescent="0.2">
      <c r="A185" s="179"/>
      <c r="B185" s="179"/>
      <c r="D185" s="86">
        <v>44039</v>
      </c>
      <c r="E185" s="64">
        <f t="shared" si="16"/>
        <v>193</v>
      </c>
      <c r="F185" s="101">
        <v>193</v>
      </c>
      <c r="G185" s="140"/>
      <c r="H185" s="64">
        <f>E185/'Erkrankungs- und Strukturdaten'!$C$7</f>
        <v>350.90909090909088</v>
      </c>
      <c r="I185" s="64">
        <f t="shared" si="19"/>
        <v>34680</v>
      </c>
      <c r="J185" s="64">
        <f t="shared" si="18"/>
        <v>0</v>
      </c>
      <c r="K185" s="101">
        <f>IFERROR(IF(D185=_Datum,Prognoseparameter!$C$14,
IF(_WachstumsrateKURZ="Bundesweit",IF(D185&gt;_Datum,
         K184+AVERAGE(F181:F184)*(1+_WR)*(1-(K184-VLOOKUP('Erkrankungs- und Strukturdaten'!$C$45,$D:$M,$K$1,FALSE))/$B$16),
         K186-$B$23*F186),
IF(D185&gt;_Datum,K184+G185,IF(G186="",K186/(K186^(1/N185)),K186-G186)))),"")</f>
        <v>0</v>
      </c>
      <c r="L185" s="64">
        <f>I185/'Erkrankungs- und Strukturdaten'!$C$7</f>
        <v>63054.545454545449</v>
      </c>
      <c r="M185" s="65">
        <f t="shared" si="20"/>
        <v>5.5963116536665988E-3</v>
      </c>
      <c r="N185" s="163">
        <v>182</v>
      </c>
      <c r="O185" s="208">
        <f t="shared" si="17"/>
        <v>1</v>
      </c>
    </row>
    <row r="186" spans="1:15" x14ac:dyDescent="0.2">
      <c r="A186" s="179"/>
      <c r="B186" s="179"/>
      <c r="D186" s="86">
        <v>44040</v>
      </c>
      <c r="E186" s="64">
        <f t="shared" si="16"/>
        <v>189</v>
      </c>
      <c r="F186" s="101">
        <v>189</v>
      </c>
      <c r="G186" s="140"/>
      <c r="H186" s="64">
        <f>E186/'Erkrankungs- und Strukturdaten'!$C$7</f>
        <v>343.63636363636363</v>
      </c>
      <c r="I186" s="64">
        <f t="shared" si="19"/>
        <v>34869</v>
      </c>
      <c r="J186" s="64">
        <f t="shared" si="18"/>
        <v>0</v>
      </c>
      <c r="K186" s="101">
        <f>IFERROR(IF(D186=_Datum,Prognoseparameter!$C$14,
IF(_WachstumsrateKURZ="Bundesweit",IF(D186&gt;_Datum,
         K185+AVERAGE(F182:F185)*(1+_WR)*(1-(K185-VLOOKUP('Erkrankungs- und Strukturdaten'!$C$45,$D:$M,$K$1,FALSE))/$B$16),
         K187-$B$23*F187),
IF(D186&gt;_Datum,K185+G186,IF(G187="",K187/(K187^(1/N186)),K187-G187)))),"")</f>
        <v>0</v>
      </c>
      <c r="L186" s="64">
        <f>I186/'Erkrankungs- und Strukturdaten'!$C$7</f>
        <v>63398.181818181816</v>
      </c>
      <c r="M186" s="65">
        <f t="shared" si="20"/>
        <v>5.4498269896193774E-3</v>
      </c>
      <c r="N186" s="163">
        <v>183</v>
      </c>
      <c r="O186" s="208">
        <f t="shared" si="17"/>
        <v>1</v>
      </c>
    </row>
    <row r="187" spans="1:15" x14ac:dyDescent="0.2">
      <c r="A187" s="179"/>
      <c r="B187" s="179"/>
      <c r="D187" s="86">
        <v>44041</v>
      </c>
      <c r="E187" s="64">
        <f t="shared" si="16"/>
        <v>220</v>
      </c>
      <c r="F187" s="101">
        <v>220</v>
      </c>
      <c r="G187" s="140"/>
      <c r="H187" s="64">
        <f>E187/'Erkrankungs- und Strukturdaten'!$C$7</f>
        <v>399.99999999999994</v>
      </c>
      <c r="I187" s="64">
        <f t="shared" si="19"/>
        <v>35089</v>
      </c>
      <c r="J187" s="64">
        <f t="shared" si="18"/>
        <v>0</v>
      </c>
      <c r="K187" s="101">
        <f>IFERROR(IF(D187=_Datum,Prognoseparameter!$C$14,
IF(_WachstumsrateKURZ="Bundesweit",IF(D187&gt;_Datum,
         K186+AVERAGE(F183:F186)*(1+_WR)*(1-(K186-VLOOKUP('Erkrankungs- und Strukturdaten'!$C$45,$D:$M,$K$1,FALSE))/$B$16),
         K188-$B$23*F188),
IF(D187&gt;_Datum,K186+G187,IF(G188="",K188/(K188^(1/N187)),K188-G188)))),"")</f>
        <v>0</v>
      </c>
      <c r="L187" s="64">
        <f>I187/'Erkrankungs- und Strukturdaten'!$C$7</f>
        <v>63798.181818181816</v>
      </c>
      <c r="M187" s="65">
        <f t="shared" si="20"/>
        <v>6.3093292035905817E-3</v>
      </c>
      <c r="N187" s="163">
        <v>184</v>
      </c>
      <c r="O187" s="208">
        <f t="shared" si="17"/>
        <v>1</v>
      </c>
    </row>
    <row r="188" spans="1:15" x14ac:dyDescent="0.2">
      <c r="A188" s="179"/>
      <c r="B188" s="179"/>
      <c r="D188" s="86">
        <v>44042</v>
      </c>
      <c r="E188" s="64">
        <f t="shared" si="16"/>
        <v>212</v>
      </c>
      <c r="F188" s="101">
        <v>212</v>
      </c>
      <c r="G188" s="140"/>
      <c r="H188" s="64">
        <f>E188/'Erkrankungs- und Strukturdaten'!$C$7</f>
        <v>385.45454545454544</v>
      </c>
      <c r="I188" s="64">
        <f t="shared" si="19"/>
        <v>35301</v>
      </c>
      <c r="J188" s="64">
        <f t="shared" si="18"/>
        <v>0</v>
      </c>
      <c r="K188" s="101">
        <f>IFERROR(IF(D188=_Datum,Prognoseparameter!$C$14,
IF(_WachstumsrateKURZ="Bundesweit",IF(D188&gt;_Datum,
         K187+AVERAGE(F184:F187)*(1+_WR)*(1-(K187-VLOOKUP('Erkrankungs- und Strukturdaten'!$C$45,$D:$M,$K$1,FALSE))/$B$16),
         K189-$B$23*F189),
IF(D188&gt;_Datum,K187+G188,IF(G189="",K189/(K189^(1/N188)),K189-G189)))),"")</f>
        <v>0</v>
      </c>
      <c r="L188" s="64">
        <f>I188/'Erkrankungs- und Strukturdaten'!$C$7</f>
        <v>64183.63636363636</v>
      </c>
      <c r="M188" s="65">
        <f t="shared" si="20"/>
        <v>6.0417794750491603E-3</v>
      </c>
      <c r="N188" s="163">
        <v>185</v>
      </c>
      <c r="O188" s="208">
        <f t="shared" si="17"/>
        <v>1</v>
      </c>
    </row>
    <row r="189" spans="1:15" x14ac:dyDescent="0.2">
      <c r="A189" s="179"/>
      <c r="B189" s="179"/>
      <c r="D189" s="86">
        <v>44043</v>
      </c>
      <c r="E189" s="64">
        <f t="shared" si="16"/>
        <v>164</v>
      </c>
      <c r="F189" s="101">
        <v>164</v>
      </c>
      <c r="G189" s="140"/>
      <c r="H189" s="64">
        <f>E189/'Erkrankungs- und Strukturdaten'!$C$7</f>
        <v>298.18181818181813</v>
      </c>
      <c r="I189" s="64">
        <f t="shared" si="19"/>
        <v>35465</v>
      </c>
      <c r="J189" s="64">
        <f t="shared" si="18"/>
        <v>0</v>
      </c>
      <c r="K189" s="101">
        <f>IFERROR(IF(D189=_Datum,Prognoseparameter!$C$14,
IF(_WachstumsrateKURZ="Bundesweit",IF(D189&gt;_Datum,
         K188+AVERAGE(F185:F188)*(1+_WR)*(1-(K188-VLOOKUP('Erkrankungs- und Strukturdaten'!$C$45,$D:$M,$K$1,FALSE))/$B$16),
         K190-$B$23*F190),
IF(D189&gt;_Datum,K188+G189,IF(G190="",K190/(K190^(1/N189)),K190-G190)))),"")</f>
        <v>0</v>
      </c>
      <c r="L189" s="64">
        <f>I189/'Erkrankungs- und Strukturdaten'!$C$7</f>
        <v>64481.818181818177</v>
      </c>
      <c r="M189" s="65">
        <f t="shared" si="20"/>
        <v>4.6457607433217189E-3</v>
      </c>
      <c r="N189" s="163">
        <v>186</v>
      </c>
      <c r="O189" s="208">
        <f t="shared" si="17"/>
        <v>1</v>
      </c>
    </row>
    <row r="190" spans="1:15" x14ac:dyDescent="0.2">
      <c r="A190" s="179"/>
      <c r="B190" s="179"/>
      <c r="D190" s="86">
        <v>44044</v>
      </c>
      <c r="E190" s="64">
        <f t="shared" si="16"/>
        <v>97</v>
      </c>
      <c r="F190" s="101">
        <v>97</v>
      </c>
      <c r="G190" s="140"/>
      <c r="H190" s="64">
        <f>E190/'Erkrankungs- und Strukturdaten'!$C$7</f>
        <v>176.36363636363635</v>
      </c>
      <c r="I190" s="64">
        <f t="shared" si="19"/>
        <v>35562</v>
      </c>
      <c r="J190" s="64">
        <f t="shared" si="18"/>
        <v>0</v>
      </c>
      <c r="K190" s="101">
        <f>IFERROR(IF(D190=_Datum,Prognoseparameter!$C$14,
IF(_WachstumsrateKURZ="Bundesweit",IF(D190&gt;_Datum,
         K189+AVERAGE(F186:F189)*(1+_WR)*(1-(K189-VLOOKUP('Erkrankungs- und Strukturdaten'!$C$45,$D:$M,$K$1,FALSE))/$B$16),
         K191-$B$23*F191),
IF(D190&gt;_Datum,K189+G190,IF(G191="",K191/(K191^(1/N190)),K191-G191)))),"")</f>
        <v>0</v>
      </c>
      <c r="L190" s="64">
        <f>I190/'Erkrankungs- und Strukturdaten'!$C$7</f>
        <v>64658.181818181816</v>
      </c>
      <c r="M190" s="65">
        <f t="shared" si="20"/>
        <v>2.7350909347243759E-3</v>
      </c>
      <c r="N190" s="163">
        <v>187</v>
      </c>
      <c r="O190" s="208">
        <f t="shared" si="17"/>
        <v>1</v>
      </c>
    </row>
    <row r="191" spans="1:15" x14ac:dyDescent="0.2">
      <c r="A191" s="179"/>
      <c r="B191" s="179"/>
      <c r="D191" s="86">
        <v>44045</v>
      </c>
      <c r="E191" s="64">
        <f t="shared" si="16"/>
        <v>80</v>
      </c>
      <c r="F191" s="101">
        <v>80</v>
      </c>
      <c r="G191" s="140"/>
      <c r="H191" s="64">
        <f>E191/'Erkrankungs- und Strukturdaten'!$C$7</f>
        <v>145.45454545454544</v>
      </c>
      <c r="I191" s="64">
        <f t="shared" si="19"/>
        <v>35642</v>
      </c>
      <c r="J191" s="64">
        <f t="shared" si="18"/>
        <v>0</v>
      </c>
      <c r="K191" s="101">
        <f>IFERROR(IF(D191=_Datum,Prognoseparameter!$C$14,
IF(_WachstumsrateKURZ="Bundesweit",IF(D191&gt;_Datum,
         K190+AVERAGE(F187:F190)*(1+_WR)*(1-(K190-VLOOKUP('Erkrankungs- und Strukturdaten'!$C$45,$D:$M,$K$1,FALSE))/$B$16),
         K192-$B$23*F192),
IF(D191&gt;_Datum,K190+G191,IF(G192="",K192/(K192^(1/N191)),K192-G192)))),"")</f>
        <v>0</v>
      </c>
      <c r="L191" s="64">
        <f>I191/'Erkrankungs- und Strukturdaten'!$C$7</f>
        <v>64803.63636363636</v>
      </c>
      <c r="M191" s="65">
        <f t="shared" si="20"/>
        <v>2.2495922614026208E-3</v>
      </c>
      <c r="N191" s="163">
        <v>188</v>
      </c>
      <c r="O191" s="208">
        <f t="shared" si="17"/>
        <v>1</v>
      </c>
    </row>
    <row r="192" spans="1:15" x14ac:dyDescent="0.2">
      <c r="A192" s="179"/>
      <c r="B192" s="179"/>
      <c r="D192" s="86">
        <v>44046</v>
      </c>
      <c r="E192" s="64">
        <f t="shared" si="16"/>
        <v>196</v>
      </c>
      <c r="F192" s="101">
        <v>196</v>
      </c>
      <c r="G192" s="140"/>
      <c r="H192" s="64">
        <f>E192/'Erkrankungs- und Strukturdaten'!$C$7</f>
        <v>356.36363636363632</v>
      </c>
      <c r="I192" s="64">
        <f t="shared" si="19"/>
        <v>35838</v>
      </c>
      <c r="J192" s="64">
        <f t="shared" si="18"/>
        <v>0</v>
      </c>
      <c r="K192" s="101">
        <f>IFERROR(IF(D192=_Datum,Prognoseparameter!$C$14,
IF(_WachstumsrateKURZ="Bundesweit",IF(D192&gt;_Datum,
         K191+AVERAGE(F188:F191)*(1+_WR)*(1-(K191-VLOOKUP('Erkrankungs- und Strukturdaten'!$C$45,$D:$M,$K$1,FALSE))/$B$16),
         K193-$B$23*F193),
IF(D192&gt;_Datum,K191+G192,IF(G193="",K193/(K193^(1/N192)),K193-G193)))),"")</f>
        <v>0</v>
      </c>
      <c r="L192" s="64">
        <f>I192/'Erkrankungs- und Strukturdaten'!$C$7</f>
        <v>65159.999999999993</v>
      </c>
      <c r="M192" s="65">
        <f t="shared" si="20"/>
        <v>5.4991302396049605E-3</v>
      </c>
      <c r="N192" s="163">
        <v>189</v>
      </c>
      <c r="O192" s="208">
        <f t="shared" si="17"/>
        <v>1</v>
      </c>
    </row>
    <row r="193" spans="1:15" x14ac:dyDescent="0.2">
      <c r="A193" s="179"/>
      <c r="B193" s="179"/>
      <c r="D193" s="86">
        <v>44047</v>
      </c>
      <c r="E193" s="64">
        <f t="shared" si="16"/>
        <v>181</v>
      </c>
      <c r="F193" s="101">
        <v>181</v>
      </c>
      <c r="G193" s="140"/>
      <c r="H193" s="64">
        <f>E193/'Erkrankungs- und Strukturdaten'!$C$7</f>
        <v>329.09090909090907</v>
      </c>
      <c r="I193" s="64">
        <f t="shared" si="19"/>
        <v>36019</v>
      </c>
      <c r="J193" s="64">
        <f t="shared" si="18"/>
        <v>0</v>
      </c>
      <c r="K193" s="101">
        <f>IFERROR(IF(D193=_Datum,Prognoseparameter!$C$14,
IF(_WachstumsrateKURZ="Bundesweit",IF(D193&gt;_Datum,
         K192+AVERAGE(F189:F192)*(1+_WR)*(1-(K192-VLOOKUP('Erkrankungs- und Strukturdaten'!$C$45,$D:$M,$K$1,FALSE))/$B$16),
         K194-$B$23*F194),
IF(D193&gt;_Datum,K192+G193,IF(G194="",K194/(K194^(1/N193)),K194-G194)))),"")</f>
        <v>0</v>
      </c>
      <c r="L193" s="64">
        <f>I193/'Erkrankungs- und Strukturdaten'!$C$7</f>
        <v>65489.090909090904</v>
      </c>
      <c r="M193" s="65">
        <f t="shared" si="20"/>
        <v>5.0505050505050509E-3</v>
      </c>
      <c r="N193" s="163">
        <v>190</v>
      </c>
      <c r="O193" s="208">
        <f t="shared" si="17"/>
        <v>1</v>
      </c>
    </row>
    <row r="194" spans="1:15" x14ac:dyDescent="0.2">
      <c r="A194" s="179"/>
      <c r="B194" s="179"/>
      <c r="D194" s="86">
        <v>44048</v>
      </c>
      <c r="E194" s="64">
        <f t="shared" si="16"/>
        <v>152</v>
      </c>
      <c r="F194" s="101">
        <v>152</v>
      </c>
      <c r="G194" s="140"/>
      <c r="H194" s="64">
        <f>E194/'Erkrankungs- und Strukturdaten'!$C$7</f>
        <v>276.36363636363632</v>
      </c>
      <c r="I194" s="64">
        <f t="shared" si="19"/>
        <v>36171</v>
      </c>
      <c r="J194" s="64">
        <f t="shared" si="18"/>
        <v>0</v>
      </c>
      <c r="K194" s="101">
        <f>IFERROR(IF(D194=_Datum,Prognoseparameter!$C$14,
IF(_WachstumsrateKURZ="Bundesweit",IF(D194&gt;_Datum,
         K193+AVERAGE(F190:F193)*(1+_WR)*(1-(K193-VLOOKUP('Erkrankungs- und Strukturdaten'!$C$45,$D:$M,$K$1,FALSE))/$B$16),
         K195-$B$23*F195),
IF(D194&gt;_Datum,K193+G194,IF(G195="",K195/(K195^(1/N194)),K195-G195)))),"")</f>
        <v>0</v>
      </c>
      <c r="L194" s="64">
        <f>I194/'Erkrankungs- und Strukturdaten'!$C$7</f>
        <v>65765.454545454544</v>
      </c>
      <c r="M194" s="65">
        <f t="shared" si="20"/>
        <v>4.2199950026374968E-3</v>
      </c>
      <c r="N194" s="163">
        <v>191</v>
      </c>
      <c r="O194" s="208">
        <f t="shared" si="17"/>
        <v>1</v>
      </c>
    </row>
    <row r="195" spans="1:15" x14ac:dyDescent="0.2">
      <c r="A195" s="179"/>
      <c r="B195" s="179"/>
      <c r="D195" s="86">
        <v>44049</v>
      </c>
      <c r="E195" s="64">
        <f t="shared" si="16"/>
        <v>156</v>
      </c>
      <c r="F195" s="101">
        <v>156</v>
      </c>
      <c r="G195" s="140"/>
      <c r="H195" s="64">
        <f>E195/'Erkrankungs- und Strukturdaten'!$C$7</f>
        <v>283.63636363636363</v>
      </c>
      <c r="I195" s="64">
        <f t="shared" si="19"/>
        <v>36327</v>
      </c>
      <c r="J195" s="64">
        <f t="shared" si="18"/>
        <v>0</v>
      </c>
      <c r="K195" s="101">
        <f>IFERROR(IF(D195=_Datum,Prognoseparameter!$C$14,
IF(_WachstumsrateKURZ="Bundesweit",IF(D195&gt;_Datum,
         K194+AVERAGE(F191:F194)*(1+_WR)*(1-(K194-VLOOKUP('Erkrankungs- und Strukturdaten'!$C$45,$D:$M,$K$1,FALSE))/$B$16),
         K196-$B$23*F196),
IF(D195&gt;_Datum,K194+G195,IF(G196="",K196/(K196^(1/N195)),K196-G196)))),"")</f>
        <v>0</v>
      </c>
      <c r="L195" s="64">
        <f>I195/'Erkrankungs- und Strukturdaten'!$C$7</f>
        <v>66049.090909090897</v>
      </c>
      <c r="M195" s="65">
        <f t="shared" si="20"/>
        <v>4.3128473086174006E-3</v>
      </c>
      <c r="N195" s="163">
        <v>192</v>
      </c>
      <c r="O195" s="208">
        <f t="shared" si="17"/>
        <v>1</v>
      </c>
    </row>
    <row r="196" spans="1:15" x14ac:dyDescent="0.2">
      <c r="A196" s="179"/>
      <c r="B196" s="179"/>
      <c r="D196" s="86">
        <v>44050</v>
      </c>
      <c r="E196" s="64">
        <f t="shared" ref="E196:E259" si="21">IF(_AusgangswertKURZ="Bevölkerungsanteil",
$B$26*IF(F196=ROUNDDOWN(F196,0),F196,F196*VLOOKUP(WEEKDAY($D196,1),$A$51:$B$57,$B$1,FALSE)),
$B$17*IF(G196=ROUNDDOWN(G196,0),G196,G196*VLOOKUP(WEEKDAY($D196,1),$A$51:$B$57,$B$1,FALSE)))</f>
        <v>185</v>
      </c>
      <c r="F196" s="101">
        <v>185</v>
      </c>
      <c r="G196" s="140"/>
      <c r="H196" s="64">
        <f>E196/'Erkrankungs- und Strukturdaten'!$C$7</f>
        <v>336.36363636363632</v>
      </c>
      <c r="I196" s="64">
        <f t="shared" si="19"/>
        <v>36512</v>
      </c>
      <c r="J196" s="64">
        <f t="shared" si="18"/>
        <v>0</v>
      </c>
      <c r="K196" s="101">
        <f>IFERROR(IF(D196=_Datum,Prognoseparameter!$C$14,
IF(_WachstumsrateKURZ="Bundesweit",IF(D196&gt;_Datum,
         K195+AVERAGE(F192:F195)*(1+_WR)*(1-(K195-VLOOKUP('Erkrankungs- und Strukturdaten'!$C$45,$D:$M,$K$1,FALSE))/$B$16),
         K197-$B$23*F197),
IF(D196&gt;_Datum,K195+G196,IF(G197="",K197/(K197^(1/N196)),K197-G197)))),"")</f>
        <v>0</v>
      </c>
      <c r="L196" s="64">
        <f>I196/'Erkrankungs- und Strukturdaten'!$C$7</f>
        <v>66385.454545454544</v>
      </c>
      <c r="M196" s="65">
        <f t="shared" si="20"/>
        <v>5.0926308255567487E-3</v>
      </c>
      <c r="N196" s="163">
        <v>193</v>
      </c>
      <c r="O196" s="208">
        <f t="shared" ref="O196:O220" si="22">IF(F196=ROUNDDOWN(F196,0),1,0)</f>
        <v>1</v>
      </c>
    </row>
    <row r="197" spans="1:15" x14ac:dyDescent="0.2">
      <c r="A197" s="179"/>
      <c r="B197" s="179"/>
      <c r="D197" s="86">
        <v>44051</v>
      </c>
      <c r="E197" s="64">
        <f t="shared" si="21"/>
        <v>130</v>
      </c>
      <c r="F197" s="101">
        <v>130</v>
      </c>
      <c r="G197" s="140"/>
      <c r="H197" s="64">
        <f>E197/'Erkrankungs- und Strukturdaten'!$C$7</f>
        <v>236.36363636363635</v>
      </c>
      <c r="I197" s="64">
        <f t="shared" si="19"/>
        <v>36642</v>
      </c>
      <c r="J197" s="64">
        <f t="shared" ref="J197:J220" si="23">J196+G197</f>
        <v>0</v>
      </c>
      <c r="K197" s="101">
        <f>IFERROR(IF(D197=_Datum,Prognoseparameter!$C$14,
IF(_WachstumsrateKURZ="Bundesweit",IF(D197&gt;_Datum,
         K196+AVERAGE(F193:F196)*(1+_WR)*(1-(K196-VLOOKUP('Erkrankungs- und Strukturdaten'!$C$45,$D:$M,$K$1,FALSE))/$B$16),
         K198-$B$23*F198),
IF(D197&gt;_Datum,K196+G197,IF(G198="",K198/(K198^(1/N197)),K198-G198)))),"")</f>
        <v>0</v>
      </c>
      <c r="L197" s="64">
        <f>I197/'Erkrankungs- und Strukturdaten'!$C$7</f>
        <v>66621.818181818177</v>
      </c>
      <c r="M197" s="65">
        <f t="shared" si="20"/>
        <v>3.5604732690622263E-3</v>
      </c>
      <c r="N197" s="163"/>
      <c r="O197" s="208">
        <f t="shared" si="22"/>
        <v>1</v>
      </c>
    </row>
    <row r="198" spans="1:15" x14ac:dyDescent="0.2">
      <c r="A198" s="179"/>
      <c r="B198" s="179"/>
      <c r="D198" s="86">
        <v>44052</v>
      </c>
      <c r="E198" s="64">
        <f t="shared" si="21"/>
        <v>100</v>
      </c>
      <c r="F198" s="101">
        <v>100</v>
      </c>
      <c r="G198" s="140"/>
      <c r="H198" s="64">
        <f>E198/'Erkrankungs- und Strukturdaten'!$C$7</f>
        <v>181.81818181818181</v>
      </c>
      <c r="I198" s="64">
        <f t="shared" ref="I198:I261" si="24">I197+F198</f>
        <v>36742</v>
      </c>
      <c r="J198" s="64">
        <f t="shared" si="23"/>
        <v>0</v>
      </c>
      <c r="K198" s="101">
        <f>IFERROR(IF(D198=_Datum,Prognoseparameter!$C$14,
IF(_WachstumsrateKURZ="Bundesweit",IF(D198&gt;_Datum,
         K197+AVERAGE(F194:F197)*(1+_WR)*(1-(K197-VLOOKUP('Erkrankungs- und Strukturdaten'!$C$45,$D:$M,$K$1,FALSE))/$B$16),
         K199-$B$23*F199),
IF(D198&gt;_Datum,K197+G198,IF(G199="",K199/(K199^(1/N198)),K199-G199)))),"")</f>
        <v>0</v>
      </c>
      <c r="L198" s="64">
        <f>I198/'Erkrankungs- und Strukturdaten'!$C$7</f>
        <v>66803.636363636353</v>
      </c>
      <c r="M198" s="65">
        <f t="shared" ref="M198:M220" si="25">IFERROR((I198-I197)/I197,0)</f>
        <v>2.7291086731073633E-3</v>
      </c>
      <c r="N198" s="163"/>
      <c r="O198" s="208">
        <f t="shared" si="22"/>
        <v>1</v>
      </c>
    </row>
    <row r="199" spans="1:15" x14ac:dyDescent="0.2">
      <c r="A199" s="179"/>
      <c r="B199" s="179"/>
      <c r="D199" s="86">
        <v>44053</v>
      </c>
      <c r="E199" s="64">
        <f t="shared" si="21"/>
        <v>281</v>
      </c>
      <c r="F199" s="101">
        <v>281</v>
      </c>
      <c r="G199" s="140"/>
      <c r="H199" s="64">
        <f>E199/'Erkrankungs- und Strukturdaten'!$C$7</f>
        <v>510.90909090909088</v>
      </c>
      <c r="I199" s="64">
        <f t="shared" si="24"/>
        <v>37023</v>
      </c>
      <c r="J199" s="64">
        <f t="shared" si="23"/>
        <v>0</v>
      </c>
      <c r="K199" s="101">
        <f>IFERROR(IF(D199=_Datum,Prognoseparameter!$C$14,
IF(_WachstumsrateKURZ="Bundesweit",IF(D199&gt;_Datum,
         K198+AVERAGE(F195:F198)*(1+_WR)*(1-(K198-VLOOKUP('Erkrankungs- und Strukturdaten'!$C$45,$D:$M,$K$1,FALSE))/$B$16),
         K200-$B$23*F200),
IF(D199&gt;_Datum,K198+G199,IF(G200="",K200/(K200^(1/N199)),K200-G200)))),"")</f>
        <v>0</v>
      </c>
      <c r="L199" s="64">
        <f>I199/'Erkrankungs- und Strukturdaten'!$C$7</f>
        <v>67314.545454545456</v>
      </c>
      <c r="M199" s="65">
        <f t="shared" si="25"/>
        <v>7.6479233574655711E-3</v>
      </c>
      <c r="N199" s="163"/>
      <c r="O199" s="208">
        <f t="shared" si="22"/>
        <v>1</v>
      </c>
    </row>
    <row r="200" spans="1:15" x14ac:dyDescent="0.2">
      <c r="A200" s="179"/>
      <c r="B200" s="179"/>
      <c r="D200" s="86">
        <v>44054</v>
      </c>
      <c r="E200" s="64">
        <f t="shared" si="21"/>
        <v>255</v>
      </c>
      <c r="F200" s="101">
        <v>255</v>
      </c>
      <c r="G200" s="140"/>
      <c r="H200" s="64">
        <f>E200/'Erkrankungs- und Strukturdaten'!$C$7</f>
        <v>463.63636363636363</v>
      </c>
      <c r="I200" s="64">
        <f t="shared" si="24"/>
        <v>37278</v>
      </c>
      <c r="J200" s="64">
        <f t="shared" si="23"/>
        <v>0</v>
      </c>
      <c r="K200" s="101">
        <f>IFERROR(IF(D200=_Datum,Prognoseparameter!$C$14,
IF(_WachstumsrateKURZ="Bundesweit",IF(D200&gt;_Datum,
         K199+AVERAGE(F196:F199)*(1+_WR)*(1-(K199-VLOOKUP('Erkrankungs- und Strukturdaten'!$C$45,$D:$M,$K$1,FALSE))/$B$16),
         K201-$B$23*F201),
IF(D200&gt;_Datum,K199+G200,IF(G201="",K201/(K201^(1/N200)),K201-G201)))),"")</f>
        <v>0</v>
      </c>
      <c r="L200" s="64">
        <f>I200/'Erkrankungs- und Strukturdaten'!$C$7</f>
        <v>67778.181818181809</v>
      </c>
      <c r="M200" s="65">
        <f t="shared" si="25"/>
        <v>6.8876104043432461E-3</v>
      </c>
      <c r="N200" s="163"/>
      <c r="O200" s="208">
        <f t="shared" si="22"/>
        <v>1</v>
      </c>
    </row>
    <row r="201" spans="1:15" x14ac:dyDescent="0.2">
      <c r="A201" s="179"/>
      <c r="B201" s="179"/>
      <c r="D201" s="86">
        <v>44055</v>
      </c>
      <c r="E201" s="64">
        <f t="shared" si="21"/>
        <v>246</v>
      </c>
      <c r="F201" s="101">
        <v>246</v>
      </c>
      <c r="G201" s="140"/>
      <c r="H201" s="64">
        <f>E201/'Erkrankungs- und Strukturdaten'!$C$7</f>
        <v>447.27272727272725</v>
      </c>
      <c r="I201" s="64">
        <f t="shared" si="24"/>
        <v>37524</v>
      </c>
      <c r="J201" s="64">
        <f t="shared" si="23"/>
        <v>0</v>
      </c>
      <c r="K201" s="101">
        <f>IFERROR(IF(D201=_Datum,Prognoseparameter!$C$14,
IF(_WachstumsrateKURZ="Bundesweit",IF(D201&gt;_Datum,
         K200+AVERAGE(F197:F200)*(1+_WR)*(1-(K200-VLOOKUP('Erkrankungs- und Strukturdaten'!$C$45,$D:$M,$K$1,FALSE))/$B$16),
         K202-$B$23*F202),
IF(D201&gt;_Datum,K200+G201,IF(G202="",K202/(K202^(1/N201)),K202-G202)))),"")</f>
        <v>0</v>
      </c>
      <c r="L201" s="64">
        <f>I201/'Erkrankungs- und Strukturdaten'!$C$7</f>
        <v>68225.454545454544</v>
      </c>
      <c r="M201" s="65">
        <f t="shared" si="25"/>
        <v>6.5990664735232577E-3</v>
      </c>
      <c r="N201" s="163"/>
      <c r="O201" s="208">
        <f t="shared" si="22"/>
        <v>1</v>
      </c>
    </row>
    <row r="202" spans="1:15" x14ac:dyDescent="0.2">
      <c r="A202" s="179"/>
      <c r="B202" s="179"/>
      <c r="D202" s="86">
        <v>44056</v>
      </c>
      <c r="E202" s="64">
        <f t="shared" si="21"/>
        <v>273</v>
      </c>
      <c r="F202" s="101">
        <v>273</v>
      </c>
      <c r="G202" s="140"/>
      <c r="H202" s="64">
        <f>E202/'Erkrankungs- und Strukturdaten'!$C$7</f>
        <v>496.36363636363632</v>
      </c>
      <c r="I202" s="64">
        <f t="shared" si="24"/>
        <v>37797</v>
      </c>
      <c r="J202" s="64">
        <f t="shared" si="23"/>
        <v>0</v>
      </c>
      <c r="K202" s="101">
        <f>IFERROR(IF(D202=_Datum,Prognoseparameter!$C$14,
IF(_WachstumsrateKURZ="Bundesweit",IF(D202&gt;_Datum,
         K201+AVERAGE(F198:F201)*(1+_WR)*(1-(K201-VLOOKUP('Erkrankungs- und Strukturdaten'!$C$45,$D:$M,$K$1,FALSE))/$B$16),
         K203-$B$23*F203),
IF(D202&gt;_Datum,K201+G202,IF(G203="",K203/(K203^(1/N202)),K203-G203)))),"")</f>
        <v>0</v>
      </c>
      <c r="L202" s="64">
        <f>I202/'Erkrankungs- und Strukturdaten'!$C$7</f>
        <v>68721.818181818177</v>
      </c>
      <c r="M202" s="65">
        <f t="shared" si="25"/>
        <v>7.2753437799808127E-3</v>
      </c>
      <c r="N202" s="163"/>
      <c r="O202" s="208">
        <f t="shared" si="22"/>
        <v>1</v>
      </c>
    </row>
    <row r="203" spans="1:15" x14ac:dyDescent="0.2">
      <c r="D203" s="86">
        <v>44057</v>
      </c>
      <c r="E203" s="64">
        <f t="shared" si="21"/>
        <v>233</v>
      </c>
      <c r="F203" s="101">
        <v>233</v>
      </c>
      <c r="G203" s="140"/>
      <c r="H203" s="64">
        <f>E203/'Erkrankungs- und Strukturdaten'!$C$7</f>
        <v>423.63636363636363</v>
      </c>
      <c r="I203" s="64">
        <f t="shared" si="24"/>
        <v>38030</v>
      </c>
      <c r="J203" s="64">
        <f t="shared" si="23"/>
        <v>0</v>
      </c>
      <c r="K203" s="101">
        <f>IFERROR(IF(D203=_Datum,Prognoseparameter!$C$14,
IF(_WachstumsrateKURZ="Bundesweit",IF(D203&gt;_Datum,
         K202+AVERAGE(F199:F202)*(1+_WR)*(1-(K202-VLOOKUP('Erkrankungs- und Strukturdaten'!$C$45,$D:$M,$K$1,FALSE))/$B$16),
         K204-$B$23*F204),
IF(D203&gt;_Datum,K202+G203,IF(G204="",K204/(K204^(1/N203)),K204-G204)))),"")</f>
        <v>0</v>
      </c>
      <c r="L203" s="64">
        <f>I203/'Erkrankungs- und Strukturdaten'!$C$7</f>
        <v>69145.454545454544</v>
      </c>
      <c r="M203" s="65">
        <f t="shared" si="25"/>
        <v>6.1645104108791699E-3</v>
      </c>
      <c r="N203" s="163"/>
      <c r="O203" s="208">
        <f t="shared" si="22"/>
        <v>1</v>
      </c>
    </row>
    <row r="204" spans="1:15" x14ac:dyDescent="0.2">
      <c r="D204" s="86">
        <v>44058</v>
      </c>
      <c r="E204" s="64">
        <f t="shared" si="21"/>
        <v>149</v>
      </c>
      <c r="F204" s="101">
        <v>149</v>
      </c>
      <c r="G204" s="140"/>
      <c r="H204" s="64">
        <f>E204/'Erkrankungs- und Strukturdaten'!$C$7</f>
        <v>270.90909090909088</v>
      </c>
      <c r="I204" s="64">
        <f t="shared" si="24"/>
        <v>38179</v>
      </c>
      <c r="J204" s="64">
        <f t="shared" si="23"/>
        <v>0</v>
      </c>
      <c r="K204" s="101">
        <f>IFERROR(IF(D204=_Datum,Prognoseparameter!$C$14,
IF(_WachstumsrateKURZ="Bundesweit",IF(D204&gt;_Datum,
         K203+AVERAGE(F200:F203)*(1+_WR)*(1-(K203-VLOOKUP('Erkrankungs- und Strukturdaten'!$C$45,$D:$M,$K$1,FALSE))/$B$16),
         K205-$B$23*F205),
IF(D204&gt;_Datum,K203+G204,IF(G205="",K205/(K205^(1/N204)),K205-G205)))),"")</f>
        <v>0</v>
      </c>
      <c r="L204" s="64">
        <f>I204/'Erkrankungs- und Strukturdaten'!$C$7</f>
        <v>69416.363636363632</v>
      </c>
      <c r="M204" s="65">
        <f t="shared" si="25"/>
        <v>3.9179595056534318E-3</v>
      </c>
      <c r="N204" s="163"/>
      <c r="O204" s="208">
        <f t="shared" si="22"/>
        <v>1</v>
      </c>
    </row>
    <row r="205" spans="1:15" x14ac:dyDescent="0.2">
      <c r="D205" s="86">
        <v>44059</v>
      </c>
      <c r="E205" s="64">
        <f t="shared" si="21"/>
        <v>137</v>
      </c>
      <c r="F205" s="101">
        <v>137</v>
      </c>
      <c r="G205" s="140"/>
      <c r="H205" s="64">
        <f>E205/'Erkrankungs- und Strukturdaten'!$C$7</f>
        <v>249.09090909090907</v>
      </c>
      <c r="I205" s="64">
        <f t="shared" si="24"/>
        <v>38316</v>
      </c>
      <c r="J205" s="64">
        <f t="shared" si="23"/>
        <v>0</v>
      </c>
      <c r="K205" s="101">
        <f>IFERROR(IF(D205=_Datum,Prognoseparameter!$C$14,
IF(_WachstumsrateKURZ="Bundesweit",IF(D205&gt;_Datum,
         K204+AVERAGE(F201:F204)*(1+_WR)*(1-(K204-VLOOKUP('Erkrankungs- und Strukturdaten'!$C$45,$D:$M,$K$1,FALSE))/$B$16),
         K206-$B$23*F206),
IF(D205&gt;_Datum,K204+G205,IF(G206="",K206/(K206^(1/N205)),K206-G206)))),"")</f>
        <v>0</v>
      </c>
      <c r="L205" s="64">
        <f>I205/'Erkrankungs- und Strukturdaten'!$C$7</f>
        <v>69665.454545454544</v>
      </c>
      <c r="M205" s="65">
        <f t="shared" si="25"/>
        <v>3.5883600932449778E-3</v>
      </c>
      <c r="N205" s="163"/>
      <c r="O205" s="208">
        <f t="shared" si="22"/>
        <v>1</v>
      </c>
    </row>
    <row r="206" spans="1:15" x14ac:dyDescent="0.2">
      <c r="D206" s="86">
        <v>44060</v>
      </c>
      <c r="E206" s="64">
        <f t="shared" si="21"/>
        <v>285</v>
      </c>
      <c r="F206" s="101">
        <v>285</v>
      </c>
      <c r="G206" s="140"/>
      <c r="H206" s="64">
        <f>E206/'Erkrankungs- und Strukturdaten'!$C$7</f>
        <v>518.18181818181813</v>
      </c>
      <c r="I206" s="64">
        <f t="shared" si="24"/>
        <v>38601</v>
      </c>
      <c r="J206" s="64">
        <f t="shared" si="23"/>
        <v>0</v>
      </c>
      <c r="K206" s="101">
        <f>IFERROR(IF(D206=_Datum,Prognoseparameter!$C$14,
IF(_WachstumsrateKURZ="Bundesweit",IF(D206&gt;_Datum,
         K205+AVERAGE(F202:F205)*(1+_WR)*(1-(K205-VLOOKUP('Erkrankungs- und Strukturdaten'!$C$45,$D:$M,$K$1,FALSE))/$B$16),
         K207-$B$23*F207),
IF(D206&gt;_Datum,K205+G206,IF(G207="",K207/(K207^(1/N206)),K207-G207)))),"")</f>
        <v>0</v>
      </c>
      <c r="L206" s="64">
        <f>I206/'Erkrankungs- und Strukturdaten'!$C$7</f>
        <v>70183.636363636353</v>
      </c>
      <c r="M206" s="65">
        <f t="shared" si="25"/>
        <v>7.4381459442530535E-3</v>
      </c>
      <c r="N206" s="163"/>
      <c r="O206" s="208">
        <f t="shared" si="22"/>
        <v>1</v>
      </c>
    </row>
    <row r="207" spans="1:15" x14ac:dyDescent="0.2">
      <c r="D207" s="86">
        <v>44061</v>
      </c>
      <c r="E207" s="64">
        <f t="shared" si="21"/>
        <v>294</v>
      </c>
      <c r="F207" s="101">
        <v>294</v>
      </c>
      <c r="G207" s="140"/>
      <c r="H207" s="64">
        <f>E207/'Erkrankungs- und Strukturdaten'!$C$7</f>
        <v>534.5454545454545</v>
      </c>
      <c r="I207" s="64">
        <f t="shared" si="24"/>
        <v>38895</v>
      </c>
      <c r="J207" s="64">
        <f t="shared" si="23"/>
        <v>0</v>
      </c>
      <c r="K207" s="101">
        <f>IFERROR(IF(D207=_Datum,Prognoseparameter!$C$14,
IF(_WachstumsrateKURZ="Bundesweit",IF(D207&gt;_Datum,
         K206+AVERAGE(F203:F206)*(1+_WR)*(1-(K206-VLOOKUP('Erkrankungs- und Strukturdaten'!$C$45,$D:$M,$K$1,FALSE))/$B$16),
         K208-$B$23*F208),
IF(D207&gt;_Datum,K206+G207,IF(G208="",K208/(K208^(1/N207)),K208-G208)))),"")</f>
        <v>0</v>
      </c>
      <c r="L207" s="64">
        <f>I207/'Erkrankungs- und Strukturdaten'!$C$7</f>
        <v>70718.181818181809</v>
      </c>
      <c r="M207" s="65">
        <f t="shared" si="25"/>
        <v>7.6163829952591898E-3</v>
      </c>
      <c r="N207" s="163"/>
      <c r="O207" s="208">
        <f t="shared" si="22"/>
        <v>1</v>
      </c>
    </row>
    <row r="208" spans="1:15" x14ac:dyDescent="0.2">
      <c r="D208" s="86">
        <v>44062</v>
      </c>
      <c r="E208" s="64">
        <f t="shared" si="21"/>
        <v>285</v>
      </c>
      <c r="F208" s="101">
        <v>285</v>
      </c>
      <c r="G208" s="140"/>
      <c r="H208" s="64">
        <f>E208/'Erkrankungs- und Strukturdaten'!$C$7</f>
        <v>518.18181818181813</v>
      </c>
      <c r="I208" s="64">
        <f t="shared" si="24"/>
        <v>39180</v>
      </c>
      <c r="J208" s="64">
        <f t="shared" si="23"/>
        <v>0</v>
      </c>
      <c r="K208" s="101">
        <f>IFERROR(IF(D208=_Datum,Prognoseparameter!$C$14,
IF(_WachstumsrateKURZ="Bundesweit",IF(D208&gt;_Datum,
         K207+AVERAGE(F204:F207)*(1+_WR)*(1-(K207-VLOOKUP('Erkrankungs- und Strukturdaten'!$C$45,$D:$M,$K$1,FALSE))/$B$16),
         K209-$B$23*F209),
IF(D208&gt;_Datum,K207+G208,IF(G209="",K209/(K209^(1/N208)),K209-G209)))),"")</f>
        <v>0</v>
      </c>
      <c r="L208" s="64">
        <f>I208/'Erkrankungs- und Strukturdaten'!$C$7</f>
        <v>71236.363636363632</v>
      </c>
      <c r="M208" s="65">
        <f t="shared" si="25"/>
        <v>7.3274199768607788E-3</v>
      </c>
      <c r="N208" s="163"/>
      <c r="O208" s="208">
        <f t="shared" si="22"/>
        <v>1</v>
      </c>
    </row>
    <row r="209" spans="4:15" x14ac:dyDescent="0.2">
      <c r="D209" s="86">
        <v>44063</v>
      </c>
      <c r="E209" s="64">
        <f t="shared" si="21"/>
        <v>349</v>
      </c>
      <c r="F209" s="101">
        <v>349</v>
      </c>
      <c r="G209" s="140"/>
      <c r="H209" s="64">
        <f>E209/'Erkrankungs- und Strukturdaten'!$C$7</f>
        <v>634.5454545454545</v>
      </c>
      <c r="I209" s="64">
        <f t="shared" si="24"/>
        <v>39529</v>
      </c>
      <c r="J209" s="64">
        <f t="shared" si="23"/>
        <v>0</v>
      </c>
      <c r="K209" s="101">
        <f>IFERROR(IF(D209=_Datum,Prognoseparameter!$C$14,
IF(_WachstumsrateKURZ="Bundesweit",IF(D209&gt;_Datum,
         K208+AVERAGE(F205:F208)*(1+_WR)*(1-(K208-VLOOKUP('Erkrankungs- und Strukturdaten'!$C$45,$D:$M,$K$1,FALSE))/$B$16),
         K210-$B$23*F210),
IF(D209&gt;_Datum,K208+G209,IF(G210="",K210/(K210^(1/N209)),K210-G210)))),"")</f>
        <v>0</v>
      </c>
      <c r="L209" s="64">
        <f>I209/'Erkrankungs- und Strukturdaten'!$C$7</f>
        <v>71870.909090909088</v>
      </c>
      <c r="M209" s="65">
        <f t="shared" si="25"/>
        <v>8.9076059213884628E-3</v>
      </c>
      <c r="N209" s="163"/>
      <c r="O209" s="208">
        <f t="shared" si="22"/>
        <v>1</v>
      </c>
    </row>
    <row r="210" spans="4:15" x14ac:dyDescent="0.2">
      <c r="D210" s="86">
        <v>44064</v>
      </c>
      <c r="E210" s="64">
        <f t="shared" si="21"/>
        <v>314</v>
      </c>
      <c r="F210" s="101">
        <v>314</v>
      </c>
      <c r="G210" s="140"/>
      <c r="H210" s="64">
        <f>E210/'Erkrankungs- und Strukturdaten'!$C$7</f>
        <v>570.90909090909088</v>
      </c>
      <c r="I210" s="64">
        <f t="shared" si="24"/>
        <v>39843</v>
      </c>
      <c r="J210" s="64">
        <f t="shared" si="23"/>
        <v>0</v>
      </c>
      <c r="K210" s="101">
        <f>IFERROR(IF(D210=_Datum,Prognoseparameter!$C$14,
IF(_WachstumsrateKURZ="Bundesweit",IF(D210&gt;_Datum,
         K209+AVERAGE(F206:F209)*(1+_WR)*(1-(K209-VLOOKUP('Erkrankungs- und Strukturdaten'!$C$45,$D:$M,$K$1,FALSE))/$B$16),
         K211-$B$23*F211),
IF(D210&gt;_Datum,K209+G210,IF(G211="",K211/(K211^(1/N210)),K211-G211)))),"")</f>
        <v>0</v>
      </c>
      <c r="L210" s="64">
        <f>I210/'Erkrankungs- und Strukturdaten'!$C$7</f>
        <v>72441.818181818177</v>
      </c>
      <c r="M210" s="65">
        <f t="shared" si="25"/>
        <v>7.9435351261099452E-3</v>
      </c>
      <c r="N210" s="163"/>
      <c r="O210" s="208">
        <f t="shared" si="22"/>
        <v>1</v>
      </c>
    </row>
    <row r="211" spans="4:15" x14ac:dyDescent="0.2">
      <c r="D211" s="86">
        <v>44065</v>
      </c>
      <c r="E211" s="64">
        <f t="shared" si="21"/>
        <v>192</v>
      </c>
      <c r="F211" s="101">
        <v>192</v>
      </c>
      <c r="G211" s="140"/>
      <c r="H211" s="64">
        <f>E211/'Erkrankungs- und Strukturdaten'!$C$7</f>
        <v>349.09090909090907</v>
      </c>
      <c r="I211" s="64">
        <f t="shared" si="24"/>
        <v>40035</v>
      </c>
      <c r="J211" s="64">
        <f t="shared" si="23"/>
        <v>0</v>
      </c>
      <c r="K211" s="101">
        <f>IFERROR(IF(D211=_Datum,Prognoseparameter!$C$14,
IF(_WachstumsrateKURZ="Bundesweit",IF(D211&gt;_Datum,
         K210+AVERAGE(F207:F210)*(1+_WR)*(1-(K210-VLOOKUP('Erkrankungs- und Strukturdaten'!$C$45,$D:$M,$K$1,FALSE))/$B$16),
         K212-$B$23*F212),
IF(D211&gt;_Datum,K210+G211,IF(G212="",K212/(K212^(1/N211)),K212-G212)))),"")</f>
        <v>0</v>
      </c>
      <c r="L211" s="64">
        <f>I211/'Erkrankungs- und Strukturdaten'!$C$7</f>
        <v>72790.909090909088</v>
      </c>
      <c r="M211" s="65">
        <f t="shared" si="25"/>
        <v>4.8189142383856633E-3</v>
      </c>
      <c r="N211" s="163"/>
      <c r="O211" s="208">
        <f t="shared" si="22"/>
        <v>1</v>
      </c>
    </row>
    <row r="212" spans="4:15" x14ac:dyDescent="0.2">
      <c r="D212" s="86">
        <v>44066</v>
      </c>
      <c r="E212" s="64">
        <f t="shared" si="21"/>
        <v>136</v>
      </c>
      <c r="F212" s="101">
        <v>136</v>
      </c>
      <c r="G212" s="140"/>
      <c r="H212" s="64">
        <f>E212/'Erkrankungs- und Strukturdaten'!$C$7</f>
        <v>247.27272727272725</v>
      </c>
      <c r="I212" s="64">
        <f t="shared" si="24"/>
        <v>40171</v>
      </c>
      <c r="J212" s="64">
        <f t="shared" si="23"/>
        <v>0</v>
      </c>
      <c r="K212" s="101">
        <f>IFERROR(IF(D212=_Datum,Prognoseparameter!$C$14,
IF(_WachstumsrateKURZ="Bundesweit",IF(D212&gt;_Datum,
         K211+AVERAGE(F208:F211)*(1+_WR)*(1-(K211-VLOOKUP('Erkrankungs- und Strukturdaten'!$C$45,$D:$M,$K$1,FALSE))/$B$16),
         K213-$B$23*F213),
IF(D212&gt;_Datum,K211+G212,IF(G213="",K213/(K213^(1/N212)),K213-G213)))),"")</f>
        <v>0</v>
      </c>
      <c r="L212" s="64">
        <f>I212/'Erkrankungs- und Strukturdaten'!$C$7</f>
        <v>73038.181818181809</v>
      </c>
      <c r="M212" s="65">
        <f t="shared" si="25"/>
        <v>3.397027600849257E-3</v>
      </c>
      <c r="N212" s="163"/>
      <c r="O212" s="208">
        <f t="shared" si="22"/>
        <v>1</v>
      </c>
    </row>
    <row r="213" spans="4:15" x14ac:dyDescent="0.2">
      <c r="D213" s="86">
        <v>44067</v>
      </c>
      <c r="E213" s="64">
        <f t="shared" si="21"/>
        <v>304</v>
      </c>
      <c r="F213" s="101">
        <v>304</v>
      </c>
      <c r="G213" s="140"/>
      <c r="H213" s="64">
        <f>E213/'Erkrankungs- und Strukturdaten'!$C$7</f>
        <v>552.72727272727263</v>
      </c>
      <c r="I213" s="64">
        <f t="shared" si="24"/>
        <v>40475</v>
      </c>
      <c r="J213" s="64">
        <f t="shared" si="23"/>
        <v>0</v>
      </c>
      <c r="K213" s="101">
        <f>IFERROR(IF(D213=_Datum,Prognoseparameter!$C$14,
IF(_WachstumsrateKURZ="Bundesweit",IF(D213&gt;_Datum,
         K212+AVERAGE(F209:F212)*(1+_WR)*(1-(K212-VLOOKUP('Erkrankungs- und Strukturdaten'!$C$45,$D:$M,$K$1,FALSE))/$B$16),
         K214-$B$23*F214),
IF(D213&gt;_Datum,K212+G213,IF(G214="",K214/(K214^(1/N213)),K214-G214)))),"")</f>
        <v>0</v>
      </c>
      <c r="L213" s="64">
        <f>I213/'Erkrankungs- und Strukturdaten'!$C$7</f>
        <v>73590.909090909088</v>
      </c>
      <c r="M213" s="65">
        <f t="shared" si="25"/>
        <v>7.5676483035025267E-3</v>
      </c>
      <c r="N213" s="163"/>
      <c r="O213" s="208">
        <f t="shared" si="22"/>
        <v>1</v>
      </c>
    </row>
    <row r="214" spans="4:15" x14ac:dyDescent="0.2">
      <c r="D214" s="86">
        <v>44068</v>
      </c>
      <c r="E214" s="64">
        <f t="shared" si="21"/>
        <v>338</v>
      </c>
      <c r="F214" s="101">
        <v>338</v>
      </c>
      <c r="G214" s="140"/>
      <c r="H214" s="64">
        <f>E214/'Erkrankungs- und Strukturdaten'!$C$7</f>
        <v>614.5454545454545</v>
      </c>
      <c r="I214" s="64">
        <f t="shared" si="24"/>
        <v>40813</v>
      </c>
      <c r="J214" s="64">
        <f t="shared" si="23"/>
        <v>0</v>
      </c>
      <c r="K214" s="101">
        <f>IFERROR(IF(D214=_Datum,Prognoseparameter!$C$14,
IF(_WachstumsrateKURZ="Bundesweit",IF(D214&gt;_Datum,
         K213+AVERAGE(F210:F213)*(1+_WR)*(1-(K213-VLOOKUP('Erkrankungs- und Strukturdaten'!$C$45,$D:$M,$K$1,FALSE))/$B$16),
         K215-$B$23*F215),
IF(D214&gt;_Datum,K213+G214,IF(G215="",K215/(K215^(1/N214)),K215-G215)))),"")</f>
        <v>0</v>
      </c>
      <c r="L214" s="64">
        <f>I214/'Erkrankungs- und Strukturdaten'!$C$7</f>
        <v>74205.454545454544</v>
      </c>
      <c r="M214" s="65">
        <f t="shared" si="25"/>
        <v>8.3508338480543544E-3</v>
      </c>
      <c r="N214" s="163"/>
      <c r="O214" s="208">
        <f t="shared" si="22"/>
        <v>1</v>
      </c>
    </row>
    <row r="215" spans="4:15" x14ac:dyDescent="0.2">
      <c r="D215" s="86">
        <v>44069</v>
      </c>
      <c r="E215" s="64">
        <f t="shared" si="21"/>
        <v>362</v>
      </c>
      <c r="F215" s="101">
        <v>362</v>
      </c>
      <c r="G215" s="140"/>
      <c r="H215" s="64">
        <f>E215/'Erkrankungs- und Strukturdaten'!$C$7</f>
        <v>658.18181818181813</v>
      </c>
      <c r="I215" s="64">
        <f t="shared" si="24"/>
        <v>41175</v>
      </c>
      <c r="J215" s="64">
        <f t="shared" si="23"/>
        <v>0</v>
      </c>
      <c r="K215" s="101">
        <f>IFERROR(IF(D215=_Datum,Prognoseparameter!$C$14,
IF(_WachstumsrateKURZ="Bundesweit",IF(D215&gt;_Datum,
         K214+AVERAGE(F211:F214)*(1+_WR)*(1-(K214-VLOOKUP('Erkrankungs- und Strukturdaten'!$C$45,$D:$M,$K$1,FALSE))/$B$16),
         K216-$B$23*F216),
IF(D215&gt;_Datum,K214+G215,IF(G216="",K216/(K216^(1/N215)),K216-G216)))),"")</f>
        <v>0</v>
      </c>
      <c r="L215" s="64">
        <f>I215/'Erkrankungs- und Strukturdaten'!$C$7</f>
        <v>74863.636363636353</v>
      </c>
      <c r="M215" s="65">
        <f t="shared" si="25"/>
        <v>8.8697228824149172E-3</v>
      </c>
      <c r="N215" s="163"/>
      <c r="O215" s="208">
        <f t="shared" si="22"/>
        <v>1</v>
      </c>
    </row>
    <row r="216" spans="4:15" x14ac:dyDescent="0.2">
      <c r="D216" s="86">
        <v>44070</v>
      </c>
      <c r="E216" s="64">
        <f t="shared" si="21"/>
        <v>352</v>
      </c>
      <c r="F216" s="101">
        <v>352</v>
      </c>
      <c r="G216" s="140"/>
      <c r="H216" s="64">
        <f>E216/'Erkrankungs- und Strukturdaten'!$C$7</f>
        <v>640</v>
      </c>
      <c r="I216" s="64">
        <f t="shared" si="24"/>
        <v>41527</v>
      </c>
      <c r="J216" s="64">
        <f t="shared" si="23"/>
        <v>0</v>
      </c>
      <c r="K216" s="101">
        <f>IFERROR(IF(D216=_Datum,Prognoseparameter!$C$14,
IF(_WachstumsrateKURZ="Bundesweit",IF(D216&gt;_Datum,
         K215+AVERAGE(F212:F215)*(1+_WR)*(1-(K215-VLOOKUP('Erkrankungs- und Strukturdaten'!$C$45,$D:$M,$K$1,FALSE))/$B$16),
         K217-$B$23*F217),
IF(D216&gt;_Datum,K215+G216,IF(G217="",K217/(K217^(1/N216)),K217-G217)))),"")</f>
        <v>0</v>
      </c>
      <c r="L216" s="64">
        <f>I216/'Erkrankungs- und Strukturdaten'!$C$7</f>
        <v>75503.636363636353</v>
      </c>
      <c r="M216" s="65">
        <f t="shared" si="25"/>
        <v>8.5488767455980576E-3</v>
      </c>
      <c r="N216" s="163"/>
      <c r="O216" s="208">
        <f t="shared" si="22"/>
        <v>1</v>
      </c>
    </row>
    <row r="217" spans="4:15" x14ac:dyDescent="0.2">
      <c r="D217" s="86">
        <v>44071</v>
      </c>
      <c r="E217" s="64">
        <f t="shared" si="21"/>
        <v>377</v>
      </c>
      <c r="F217" s="101">
        <v>377</v>
      </c>
      <c r="G217" s="140"/>
      <c r="H217" s="64">
        <f>E217/'Erkrankungs- und Strukturdaten'!$C$7</f>
        <v>685.45454545454538</v>
      </c>
      <c r="I217" s="64">
        <f t="shared" si="24"/>
        <v>41904</v>
      </c>
      <c r="J217" s="64">
        <f t="shared" si="23"/>
        <v>0</v>
      </c>
      <c r="K217" s="101">
        <f>IFERROR(IF(D217=_Datum,Prognoseparameter!$C$14,
IF(_WachstumsrateKURZ="Bundesweit",IF(D217&gt;_Datum,
         K216+AVERAGE(F213:F216)*(1+_WR)*(1-(K216-VLOOKUP('Erkrankungs- und Strukturdaten'!$C$45,$D:$M,$K$1,FALSE))/$B$16),
         K218-$B$23*F218),
IF(D217&gt;_Datum,K216+G217,IF(G218="",K218/(K218^(1/N217)),K218-G218)))),"")</f>
        <v>0</v>
      </c>
      <c r="L217" s="64">
        <f>I217/'Erkrankungs- und Strukturdaten'!$C$7</f>
        <v>76189.090909090897</v>
      </c>
      <c r="M217" s="65">
        <f t="shared" si="25"/>
        <v>9.0784309003780674E-3</v>
      </c>
      <c r="N217" s="163"/>
      <c r="O217" s="208">
        <f t="shared" si="22"/>
        <v>1</v>
      </c>
    </row>
    <row r="218" spans="4:15" x14ac:dyDescent="0.2">
      <c r="D218" s="86">
        <v>44072</v>
      </c>
      <c r="E218" s="64">
        <f t="shared" si="21"/>
        <v>215</v>
      </c>
      <c r="F218" s="101">
        <v>215</v>
      </c>
      <c r="G218" s="140"/>
      <c r="H218" s="64">
        <f>E218/'Erkrankungs- und Strukturdaten'!$C$7</f>
        <v>390.90909090909088</v>
      </c>
      <c r="I218" s="64">
        <f t="shared" si="24"/>
        <v>42119</v>
      </c>
      <c r="J218" s="64">
        <f t="shared" si="23"/>
        <v>0</v>
      </c>
      <c r="K218" s="101">
        <f>IFERROR(IF(D218=_Datum,Prognoseparameter!$C$14,
IF(_WachstumsrateKURZ="Bundesweit",IF(D218&gt;_Datum,
         K217+AVERAGE(F214:F217)*(1+_WR)*(1-(K217-VLOOKUP('Erkrankungs- und Strukturdaten'!$C$45,$D:$M,$K$1,FALSE))/$B$16),
         K219-$B$23*F219),
IF(D218&gt;_Datum,K217+G218,IF(G219="",K219/(K219^(1/N218)),K219-G219)))),"")</f>
        <v>0</v>
      </c>
      <c r="L218" s="64">
        <f>I218/'Erkrankungs- und Strukturdaten'!$C$7</f>
        <v>76580</v>
      </c>
      <c r="M218" s="65">
        <f t="shared" si="25"/>
        <v>5.1307751050019088E-3</v>
      </c>
      <c r="N218" s="163"/>
      <c r="O218" s="208">
        <f t="shared" si="22"/>
        <v>1</v>
      </c>
    </row>
    <row r="219" spans="4:15" x14ac:dyDescent="0.2">
      <c r="D219" s="86">
        <v>44073</v>
      </c>
      <c r="E219" s="64">
        <f t="shared" si="21"/>
        <v>144</v>
      </c>
      <c r="F219" s="101">
        <v>144</v>
      </c>
      <c r="G219" s="140"/>
      <c r="H219" s="64">
        <f>E219/'Erkrankungs- und Strukturdaten'!$C$7</f>
        <v>261.81818181818181</v>
      </c>
      <c r="I219" s="64">
        <f t="shared" si="24"/>
        <v>42263</v>
      </c>
      <c r="J219" s="64">
        <f t="shared" si="23"/>
        <v>0</v>
      </c>
      <c r="K219" s="101">
        <f>IFERROR(IF(D219=_Datum,Prognoseparameter!$C$14,
IF(_WachstumsrateKURZ="Bundesweit",IF(D219&gt;_Datum,
         K218+AVERAGE(F215:F218)*(1+_WR)*(1-(K218-VLOOKUP('Erkrankungs- und Strukturdaten'!$C$45,$D:$M,$K$1,FALSE))/$B$16),
         K220-$B$23*F220),
IF(D219&gt;_Datum,K218+G219,IF(G220="",K220/(K220^(1/N219)),K220-G220)))),"")</f>
        <v>0</v>
      </c>
      <c r="L219" s="64">
        <f>I219/'Erkrankungs- und Strukturdaten'!$C$7</f>
        <v>76841.818181818177</v>
      </c>
      <c r="M219" s="65">
        <f t="shared" si="25"/>
        <v>3.4188845889028706E-3</v>
      </c>
      <c r="N219" s="163"/>
      <c r="O219" s="208">
        <f t="shared" si="22"/>
        <v>1</v>
      </c>
    </row>
    <row r="220" spans="4:15" x14ac:dyDescent="0.2">
      <c r="D220" s="86">
        <v>44074</v>
      </c>
      <c r="E220" s="64">
        <f t="shared" si="21"/>
        <v>347</v>
      </c>
      <c r="F220" s="101">
        <v>347</v>
      </c>
      <c r="G220" s="140"/>
      <c r="H220" s="64">
        <f>E220/'Erkrankungs- und Strukturdaten'!$C$7</f>
        <v>630.90909090909088</v>
      </c>
      <c r="I220" s="64">
        <f t="shared" si="24"/>
        <v>42610</v>
      </c>
      <c r="J220" s="64">
        <f t="shared" si="23"/>
        <v>0</v>
      </c>
      <c r="K220" s="101">
        <f>IFERROR(IF(D220=_Datum,Prognoseparameter!$C$14,
IF(_WachstumsrateKURZ="Bundesweit",IF(D220&gt;_Datum,
         K219+AVERAGE(F216:F219)*(1+_WR)*(1-(K219-VLOOKUP('Erkrankungs- und Strukturdaten'!$C$45,$D:$M,$K$1,FALSE))/$B$16),
         K221-$B$23*F221),
IF(D220&gt;_Datum,K219+G220,IF(G221="",K221/(K221^(1/N220)),K221-G221)))),"")</f>
        <v>0</v>
      </c>
      <c r="L220" s="64">
        <f>I220/'Erkrankungs- und Strukturdaten'!$C$7</f>
        <v>77472.727272727265</v>
      </c>
      <c r="M220" s="65">
        <f t="shared" si="25"/>
        <v>8.2104914464188536E-3</v>
      </c>
      <c r="N220" s="163"/>
      <c r="O220" s="208">
        <f t="shared" si="22"/>
        <v>1</v>
      </c>
    </row>
    <row r="221" spans="4:15" x14ac:dyDescent="0.2">
      <c r="D221" s="86">
        <v>44075</v>
      </c>
      <c r="E221" s="64">
        <f t="shared" si="21"/>
        <v>364</v>
      </c>
      <c r="F221" s="101">
        <v>364</v>
      </c>
      <c r="G221" s="140"/>
      <c r="H221" s="64">
        <f>E221/'Erkrankungs- und Strukturdaten'!$C$7</f>
        <v>661.81818181818176</v>
      </c>
      <c r="I221" s="64">
        <f t="shared" si="24"/>
        <v>42974</v>
      </c>
      <c r="J221" s="64">
        <f t="shared" ref="J221:J284" si="26">J220+G221</f>
        <v>0</v>
      </c>
      <c r="K221" s="101">
        <f>IFERROR(IF(D221=_Datum,Prognoseparameter!$C$14,
IF(_WachstumsrateKURZ="Bundesweit",IF(D221&gt;_Datum,
         K220+AVERAGE(F217:F220)*(1+_WR)*(1-(K220-VLOOKUP('Erkrankungs- und Strukturdaten'!$C$45,$D:$M,$K$1,FALSE))/$B$16),
         K222-$B$23*F222),
IF(D221&gt;_Datum,K220+G221,IF(G222="",K222/(K222^(1/N221)),K222-G222)))),"")</f>
        <v>0</v>
      </c>
      <c r="L221" s="64">
        <f>I221/'Erkrankungs- und Strukturdaten'!$C$7</f>
        <v>78134.545454545441</v>
      </c>
      <c r="M221" s="65">
        <f t="shared" ref="M221:M284" si="27">IFERROR((I221-I220)/I220,0)</f>
        <v>8.5425956348275048E-3</v>
      </c>
      <c r="N221" s="223"/>
      <c r="O221" s="221">
        <f t="shared" ref="O221:O284" si="28">IF(F221=ROUNDDOWN(F221,0),1,0)</f>
        <v>1</v>
      </c>
    </row>
    <row r="222" spans="4:15" x14ac:dyDescent="0.2">
      <c r="D222" s="86">
        <v>44076</v>
      </c>
      <c r="E222" s="64">
        <f t="shared" si="21"/>
        <v>417</v>
      </c>
      <c r="F222" s="101">
        <v>417</v>
      </c>
      <c r="G222" s="140"/>
      <c r="H222" s="64">
        <f>E222/'Erkrankungs- und Strukturdaten'!$C$7</f>
        <v>758.18181818181813</v>
      </c>
      <c r="I222" s="64">
        <f t="shared" si="24"/>
        <v>43391</v>
      </c>
      <c r="J222" s="64">
        <f t="shared" si="26"/>
        <v>0</v>
      </c>
      <c r="K222" s="101">
        <f>IFERROR(IF(D222=_Datum,Prognoseparameter!$C$14,
IF(_WachstumsrateKURZ="Bundesweit",IF(D222&gt;_Datum,
         K221+AVERAGE(F218:F221)*(1+_WR)*(1-(K221-VLOOKUP('Erkrankungs- und Strukturdaten'!$C$45,$D:$M,$K$1,FALSE))/$B$16),
         K223-$B$23*F223),
IF(D222&gt;_Datum,K221+G222,IF(G223="",K223/(K223^(1/N222)),K223-G223)))),"")</f>
        <v>0</v>
      </c>
      <c r="L222" s="64">
        <f>I222/'Erkrankungs- und Strukturdaten'!$C$7</f>
        <v>78892.727272727265</v>
      </c>
      <c r="M222" s="65">
        <f t="shared" si="27"/>
        <v>9.7035416763624517E-3</v>
      </c>
      <c r="N222" s="223"/>
      <c r="O222" s="221">
        <f t="shared" si="28"/>
        <v>1</v>
      </c>
    </row>
    <row r="223" spans="4:15" x14ac:dyDescent="0.2">
      <c r="D223" s="86">
        <v>44077</v>
      </c>
      <c r="E223" s="64">
        <f t="shared" si="21"/>
        <v>438</v>
      </c>
      <c r="F223" s="101">
        <v>438</v>
      </c>
      <c r="G223" s="140"/>
      <c r="H223" s="64">
        <f>E223/'Erkrankungs- und Strukturdaten'!$C$7</f>
        <v>796.36363636363626</v>
      </c>
      <c r="I223" s="64">
        <f t="shared" si="24"/>
        <v>43829</v>
      </c>
      <c r="J223" s="64">
        <f t="shared" si="26"/>
        <v>0</v>
      </c>
      <c r="K223" s="101">
        <f>IFERROR(IF(D223=_Datum,Prognoseparameter!$C$14,
IF(_WachstumsrateKURZ="Bundesweit",IF(D223&gt;_Datum,
         K222+AVERAGE(F219:F222)*(1+_WR)*(1-(K222-VLOOKUP('Erkrankungs- und Strukturdaten'!$C$45,$D:$M,$K$1,FALSE))/$B$16),
         K224-$B$23*F224),
IF(D223&gt;_Datum,K222+G223,IF(G224="",K224/(K224^(1/N223)),K224-G224)))),"")</f>
        <v>0</v>
      </c>
      <c r="L223" s="64">
        <f>I223/'Erkrankungs- und Strukturdaten'!$C$7</f>
        <v>79689.090909090897</v>
      </c>
      <c r="M223" s="65">
        <f t="shared" si="27"/>
        <v>1.0094259178170589E-2</v>
      </c>
      <c r="N223" s="223"/>
      <c r="O223" s="221">
        <f t="shared" si="28"/>
        <v>1</v>
      </c>
    </row>
    <row r="224" spans="4:15" x14ac:dyDescent="0.2">
      <c r="D224" s="86">
        <v>44078</v>
      </c>
      <c r="E224" s="64">
        <f t="shared" si="21"/>
        <v>426</v>
      </c>
      <c r="F224" s="101">
        <v>426</v>
      </c>
      <c r="G224" s="140"/>
      <c r="H224" s="64">
        <f>E224/'Erkrankungs- und Strukturdaten'!$C$7</f>
        <v>774.5454545454545</v>
      </c>
      <c r="I224" s="64">
        <f t="shared" si="24"/>
        <v>44255</v>
      </c>
      <c r="J224" s="64">
        <f t="shared" si="26"/>
        <v>0</v>
      </c>
      <c r="K224" s="101">
        <f>IFERROR(IF(D224=_Datum,Prognoseparameter!$C$14,
IF(_WachstumsrateKURZ="Bundesweit",IF(D224&gt;_Datum,
         K223+AVERAGE(F220:F223)*(1+_WR)*(1-(K223-VLOOKUP('Erkrankungs- und Strukturdaten'!$C$45,$D:$M,$K$1,FALSE))/$B$16),
         K225-$B$23*F225),
IF(D224&gt;_Datum,K223+G224,IF(G225="",K225/(K225^(1/N224)),K225-G225)))),"")</f>
        <v>0</v>
      </c>
      <c r="L224" s="64">
        <f>I224/'Erkrankungs- und Strukturdaten'!$C$7</f>
        <v>80463.636363636353</v>
      </c>
      <c r="M224" s="65">
        <f t="shared" si="27"/>
        <v>9.7195920509251868E-3</v>
      </c>
      <c r="N224" s="223"/>
      <c r="O224" s="221">
        <f t="shared" si="28"/>
        <v>1</v>
      </c>
    </row>
    <row r="225" spans="4:15" x14ac:dyDescent="0.2">
      <c r="D225" s="86">
        <v>44079</v>
      </c>
      <c r="E225" s="64">
        <f t="shared" si="21"/>
        <v>294</v>
      </c>
      <c r="F225" s="101">
        <v>294</v>
      </c>
      <c r="G225" s="140"/>
      <c r="H225" s="64">
        <f>E225/'Erkrankungs- und Strukturdaten'!$C$7</f>
        <v>534.5454545454545</v>
      </c>
      <c r="I225" s="64">
        <f t="shared" si="24"/>
        <v>44549</v>
      </c>
      <c r="J225" s="64">
        <f t="shared" si="26"/>
        <v>0</v>
      </c>
      <c r="K225" s="101">
        <f>IFERROR(IF(D225=_Datum,Prognoseparameter!$C$14,
IF(_WachstumsrateKURZ="Bundesweit",IF(D225&gt;_Datum,
         K224+AVERAGE(F221:F224)*(1+_WR)*(1-(K224-VLOOKUP('Erkrankungs- und Strukturdaten'!$C$45,$D:$M,$K$1,FALSE))/$B$16),
         K226-$B$23*F226),
IF(D225&gt;_Datum,K224+G225,IF(G226="",K226/(K226^(1/N225)),K226-G226)))),"")</f>
        <v>0</v>
      </c>
      <c r="L225" s="64">
        <f>I225/'Erkrankungs- und Strukturdaten'!$C$7</f>
        <v>80998.181818181809</v>
      </c>
      <c r="M225" s="65">
        <f t="shared" si="27"/>
        <v>6.6433171393062932E-3</v>
      </c>
      <c r="N225" s="223"/>
      <c r="O225" s="221">
        <f t="shared" si="28"/>
        <v>1</v>
      </c>
    </row>
    <row r="226" spans="4:15" x14ac:dyDescent="0.2">
      <c r="D226" s="86">
        <v>44080</v>
      </c>
      <c r="E226" s="64">
        <f t="shared" si="21"/>
        <v>170</v>
      </c>
      <c r="F226" s="101">
        <v>170</v>
      </c>
      <c r="G226" s="140"/>
      <c r="H226" s="64">
        <f>E226/'Erkrankungs- und Strukturdaten'!$C$7</f>
        <v>309.09090909090907</v>
      </c>
      <c r="I226" s="64">
        <f t="shared" si="24"/>
        <v>44719</v>
      </c>
      <c r="J226" s="64">
        <f t="shared" si="26"/>
        <v>0</v>
      </c>
      <c r="K226" s="101">
        <f>IFERROR(IF(D226=_Datum,Prognoseparameter!$C$14,
IF(_WachstumsrateKURZ="Bundesweit",IF(D226&gt;_Datum,
         K225+AVERAGE(F222:F225)*(1+_WR)*(1-(K225-VLOOKUP('Erkrankungs- und Strukturdaten'!$C$45,$D:$M,$K$1,FALSE))/$B$16),
         K227-$B$23*F227),
IF(D226&gt;_Datum,K225+G226,IF(G227="",K227/(K227^(1/N226)),K227-G227)))),"")</f>
        <v>0</v>
      </c>
      <c r="L226" s="64">
        <f>I226/'Erkrankungs- und Strukturdaten'!$C$7</f>
        <v>81307.272727272721</v>
      </c>
      <c r="M226" s="65">
        <f t="shared" si="27"/>
        <v>3.8160228063480661E-3</v>
      </c>
      <c r="N226" s="223"/>
      <c r="O226" s="221">
        <f t="shared" si="28"/>
        <v>1</v>
      </c>
    </row>
    <row r="227" spans="4:15" x14ac:dyDescent="0.2">
      <c r="D227" s="86">
        <v>44081</v>
      </c>
      <c r="E227" s="64">
        <f t="shared" si="21"/>
        <v>467</v>
      </c>
      <c r="F227" s="101">
        <v>467</v>
      </c>
      <c r="G227" s="140"/>
      <c r="H227" s="64">
        <f>E227/'Erkrankungs- und Strukturdaten'!$C$7</f>
        <v>849.09090909090901</v>
      </c>
      <c r="I227" s="64">
        <f t="shared" si="24"/>
        <v>45186</v>
      </c>
      <c r="J227" s="64">
        <f t="shared" si="26"/>
        <v>0</v>
      </c>
      <c r="K227" s="101">
        <f>IFERROR(IF(D227=_Datum,Prognoseparameter!$C$14,
IF(_WachstumsrateKURZ="Bundesweit",IF(D227&gt;_Datum,
         K226+AVERAGE(F223:F226)*(1+_WR)*(1-(K226-VLOOKUP('Erkrankungs- und Strukturdaten'!$C$45,$D:$M,$K$1,FALSE))/$B$16),
         K228-$B$23*F228),
IF(D227&gt;_Datum,K226+G227,IF(G228="",K228/(K228^(1/N227)),K228-G228)))),"")</f>
        <v>0</v>
      </c>
      <c r="L227" s="64">
        <f>I227/'Erkrankungs- und Strukturdaten'!$C$7</f>
        <v>82156.363636363632</v>
      </c>
      <c r="M227" s="65">
        <f t="shared" si="27"/>
        <v>1.0442988438918581E-2</v>
      </c>
      <c r="N227" s="223"/>
      <c r="O227" s="221">
        <f t="shared" si="28"/>
        <v>1</v>
      </c>
    </row>
    <row r="228" spans="4:15" x14ac:dyDescent="0.2">
      <c r="D228" s="86">
        <v>44082</v>
      </c>
      <c r="E228" s="64">
        <f t="shared" si="21"/>
        <v>387</v>
      </c>
      <c r="F228" s="101">
        <v>387</v>
      </c>
      <c r="G228" s="140"/>
      <c r="H228" s="64">
        <f>E228/'Erkrankungs- und Strukturdaten'!$C$7</f>
        <v>703.63636363636363</v>
      </c>
      <c r="I228" s="64">
        <f t="shared" si="24"/>
        <v>45573</v>
      </c>
      <c r="J228" s="64">
        <f t="shared" si="26"/>
        <v>0</v>
      </c>
      <c r="K228" s="101">
        <f>IFERROR(IF(D228=_Datum,Prognoseparameter!$C$14,
IF(_WachstumsrateKURZ="Bundesweit",IF(D228&gt;_Datum,
         K227+AVERAGE(F224:F227)*(1+_WR)*(1-(K227-VLOOKUP('Erkrankungs- und Strukturdaten'!$C$45,$D:$M,$K$1,FALSE))/$B$16),
         K229-$B$23*F229),
IF(D228&gt;_Datum,K227+G228,IF(G229="",K229/(K229^(1/N228)),K229-G229)))),"")</f>
        <v>0</v>
      </c>
      <c r="L228" s="64">
        <f>I228/'Erkrankungs- und Strukturdaten'!$C$7</f>
        <v>82860</v>
      </c>
      <c r="M228" s="65">
        <f t="shared" si="27"/>
        <v>8.5645996547603232E-3</v>
      </c>
      <c r="N228" s="223"/>
      <c r="O228" s="221">
        <f t="shared" si="28"/>
        <v>1</v>
      </c>
    </row>
    <row r="229" spans="4:15" x14ac:dyDescent="0.2">
      <c r="D229" s="86">
        <v>44083</v>
      </c>
      <c r="E229" s="64">
        <f t="shared" si="21"/>
        <v>462</v>
      </c>
      <c r="F229" s="101">
        <v>462</v>
      </c>
      <c r="G229" s="140"/>
      <c r="H229" s="64">
        <f>E229/'Erkrankungs- und Strukturdaten'!$C$7</f>
        <v>839.99999999999989</v>
      </c>
      <c r="I229" s="64">
        <f t="shared" si="24"/>
        <v>46035</v>
      </c>
      <c r="J229" s="64">
        <f t="shared" si="26"/>
        <v>0</v>
      </c>
      <c r="K229" s="101">
        <f>IFERROR(IF(D229=_Datum,Prognoseparameter!$C$14,
IF(_WachstumsrateKURZ="Bundesweit",IF(D229&gt;_Datum,
         K228+AVERAGE(F225:F228)*(1+_WR)*(1-(K228-VLOOKUP('Erkrankungs- und Strukturdaten'!$C$45,$D:$M,$K$1,FALSE))/$B$16),
         K230-$B$23*F230),
IF(D229&gt;_Datum,K228+G229,IF(G230="",K230/(K230^(1/N229)),K230-G230)))),"")</f>
        <v>0</v>
      </c>
      <c r="L229" s="64">
        <f>I229/'Erkrankungs- und Strukturdaten'!$C$7</f>
        <v>83700</v>
      </c>
      <c r="M229" s="65">
        <f t="shared" si="27"/>
        <v>1.0137581462708182E-2</v>
      </c>
      <c r="N229" s="223"/>
      <c r="O229" s="221">
        <f t="shared" si="28"/>
        <v>1</v>
      </c>
    </row>
    <row r="230" spans="4:15" x14ac:dyDescent="0.2">
      <c r="D230" s="86">
        <v>44084</v>
      </c>
      <c r="E230" s="64">
        <f t="shared" si="21"/>
        <v>507</v>
      </c>
      <c r="F230" s="101">
        <v>507</v>
      </c>
      <c r="G230" s="140"/>
      <c r="H230" s="64">
        <f>E230/'Erkrankungs- und Strukturdaten'!$C$7</f>
        <v>921.81818181818176</v>
      </c>
      <c r="I230" s="64">
        <f t="shared" si="24"/>
        <v>46542</v>
      </c>
      <c r="J230" s="64">
        <f t="shared" si="26"/>
        <v>0</v>
      </c>
      <c r="K230" s="101">
        <f>IFERROR(IF(D230=_Datum,Prognoseparameter!$C$14,
IF(_WachstumsrateKURZ="Bundesweit",IF(D230&gt;_Datum,
         K229+AVERAGE(F226:F229)*(1+_WR)*(1-(K229-VLOOKUP('Erkrankungs- und Strukturdaten'!$C$45,$D:$M,$K$1,FALSE))/$B$16),
         K231-$B$23*F231),
IF(D230&gt;_Datum,K229+G230,IF(G231="",K231/(K231^(1/N230)),K231-G231)))),"")</f>
        <v>0</v>
      </c>
      <c r="L230" s="64">
        <f>I230/'Erkrankungs- und Strukturdaten'!$C$7</f>
        <v>84621.818181818177</v>
      </c>
      <c r="M230" s="65">
        <f t="shared" si="27"/>
        <v>1.1013359400456176E-2</v>
      </c>
      <c r="N230" s="223"/>
      <c r="O230" s="221">
        <f t="shared" si="28"/>
        <v>1</v>
      </c>
    </row>
    <row r="231" spans="4:15" x14ac:dyDescent="0.2">
      <c r="D231" s="86">
        <v>44085</v>
      </c>
      <c r="E231" s="64">
        <f t="shared" si="21"/>
        <v>533</v>
      </c>
      <c r="F231" s="101">
        <v>533</v>
      </c>
      <c r="G231" s="140"/>
      <c r="H231" s="64">
        <f>E231/'Erkrankungs- und Strukturdaten'!$C$7</f>
        <v>969.09090909090901</v>
      </c>
      <c r="I231" s="64">
        <f t="shared" si="24"/>
        <v>47075</v>
      </c>
      <c r="J231" s="64">
        <f t="shared" si="26"/>
        <v>0</v>
      </c>
      <c r="K231" s="101">
        <f>IFERROR(IF(D231=_Datum,Prognoseparameter!$C$14,
IF(_WachstumsrateKURZ="Bundesweit",IF(D231&gt;_Datum,
         K230+AVERAGE(F227:F230)*(1+_WR)*(1-(K230-VLOOKUP('Erkrankungs- und Strukturdaten'!$C$45,$D:$M,$K$1,FALSE))/$B$16),
         K232-$B$23*F232),
IF(D231&gt;_Datum,K230+G231,IF(G232="",K232/(K232^(1/N231)),K232-G232)))),"")</f>
        <v>0</v>
      </c>
      <c r="L231" s="64">
        <f>I231/'Erkrankungs- und Strukturdaten'!$C$7</f>
        <v>85590.909090909088</v>
      </c>
      <c r="M231" s="65">
        <f t="shared" si="27"/>
        <v>1.1452021829745177E-2</v>
      </c>
      <c r="N231" s="223"/>
      <c r="O231" s="221">
        <f t="shared" si="28"/>
        <v>1</v>
      </c>
    </row>
    <row r="232" spans="4:15" x14ac:dyDescent="0.2">
      <c r="D232" s="86">
        <v>44086</v>
      </c>
      <c r="E232" s="64">
        <f t="shared" si="21"/>
        <v>266</v>
      </c>
      <c r="F232" s="101">
        <v>266</v>
      </c>
      <c r="G232" s="140"/>
      <c r="H232" s="64">
        <f>E232/'Erkrankungs- und Strukturdaten'!$C$7</f>
        <v>483.63636363636357</v>
      </c>
      <c r="I232" s="64">
        <f t="shared" si="24"/>
        <v>47341</v>
      </c>
      <c r="J232" s="64">
        <f t="shared" si="26"/>
        <v>0</v>
      </c>
      <c r="K232" s="101">
        <f>IFERROR(IF(D232=_Datum,Prognoseparameter!$C$14,
IF(_WachstumsrateKURZ="Bundesweit",IF(D232&gt;_Datum,
         K231+AVERAGE(F228:F231)*(1+_WR)*(1-(K231-VLOOKUP('Erkrankungs- und Strukturdaten'!$C$45,$D:$M,$K$1,FALSE))/$B$16),
         K233-$B$23*F233),
IF(D232&gt;_Datum,K231+G232,IF(G233="",K233/(K233^(1/N232)),K233-G233)))),"")</f>
        <v>0</v>
      </c>
      <c r="L232" s="64">
        <f>I232/'Erkrankungs- und Strukturdaten'!$C$7</f>
        <v>86074.545454545441</v>
      </c>
      <c r="M232" s="65">
        <f t="shared" si="27"/>
        <v>5.6505576208178438E-3</v>
      </c>
      <c r="N232" s="223"/>
      <c r="O232" s="221">
        <f t="shared" si="28"/>
        <v>1</v>
      </c>
    </row>
    <row r="233" spans="4:15" x14ac:dyDescent="0.2">
      <c r="D233" s="86">
        <v>44087</v>
      </c>
      <c r="E233" s="64">
        <f t="shared" si="21"/>
        <v>238</v>
      </c>
      <c r="F233" s="101">
        <v>238</v>
      </c>
      <c r="G233" s="140"/>
      <c r="H233" s="64">
        <f>E233/'Erkrankungs- und Strukturdaten'!$C$7</f>
        <v>432.72727272727269</v>
      </c>
      <c r="I233" s="64">
        <f t="shared" si="24"/>
        <v>47579</v>
      </c>
      <c r="J233" s="64">
        <f t="shared" si="26"/>
        <v>0</v>
      </c>
      <c r="K233" s="101">
        <f>IFERROR(IF(D233=_Datum,Prognoseparameter!$C$14,
IF(_WachstumsrateKURZ="Bundesweit",IF(D233&gt;_Datum,
         K232+AVERAGE(F229:F232)*(1+_WR)*(1-(K232-VLOOKUP('Erkrankungs- und Strukturdaten'!$C$45,$D:$M,$K$1,FALSE))/$B$16),
         K234-$B$23*F234),
IF(D233&gt;_Datum,K232+G233,IF(G234="",K234/(K234^(1/N233)),K234-G234)))),"")</f>
        <v>0</v>
      </c>
      <c r="L233" s="64">
        <f>I233/'Erkrankungs- und Strukturdaten'!$C$7</f>
        <v>86507.272727272721</v>
      </c>
      <c r="M233" s="65">
        <f t="shared" si="27"/>
        <v>5.027354724234807E-3</v>
      </c>
      <c r="N233" s="223"/>
      <c r="O233" s="221">
        <f t="shared" si="28"/>
        <v>1</v>
      </c>
    </row>
    <row r="234" spans="4:15" x14ac:dyDescent="0.2">
      <c r="D234" s="86">
        <v>44088</v>
      </c>
      <c r="E234" s="64">
        <f t="shared" si="21"/>
        <v>504</v>
      </c>
      <c r="F234" s="101">
        <v>504</v>
      </c>
      <c r="G234" s="140"/>
      <c r="H234" s="64">
        <f>E234/'Erkrankungs- und Strukturdaten'!$C$7</f>
        <v>916.36363636363626</v>
      </c>
      <c r="I234" s="64">
        <f t="shared" si="24"/>
        <v>48083</v>
      </c>
      <c r="J234" s="64">
        <f t="shared" si="26"/>
        <v>0</v>
      </c>
      <c r="K234" s="101">
        <f>IFERROR(IF(D234=_Datum,Prognoseparameter!$C$14,
IF(_WachstumsrateKURZ="Bundesweit",IF(D234&gt;_Datum,
         K233+AVERAGE(F230:F233)*(1+_WR)*(1-(K233-VLOOKUP('Erkrankungs- und Strukturdaten'!$C$45,$D:$M,$K$1,FALSE))/$B$16),
         K235-$B$23*F235),
IF(D234&gt;_Datum,K233+G234,IF(G235="",K235/(K235^(1/N234)),K235-G235)))),"")</f>
        <v>0</v>
      </c>
      <c r="L234" s="64">
        <f>I234/'Erkrankungs- und Strukturdaten'!$C$7</f>
        <v>87423.636363636353</v>
      </c>
      <c r="M234" s="65">
        <f t="shared" si="27"/>
        <v>1.0592908636163013E-2</v>
      </c>
      <c r="N234" s="223"/>
      <c r="O234" s="221">
        <f t="shared" si="28"/>
        <v>1</v>
      </c>
    </row>
    <row r="235" spans="4:15" x14ac:dyDescent="0.2">
      <c r="D235" s="86">
        <v>44089</v>
      </c>
      <c r="E235" s="64">
        <f t="shared" si="21"/>
        <v>458</v>
      </c>
      <c r="F235" s="101">
        <v>458</v>
      </c>
      <c r="G235" s="140"/>
      <c r="H235" s="64">
        <f>E235/'Erkrankungs- und Strukturdaten'!$C$7</f>
        <v>832.72727272727263</v>
      </c>
      <c r="I235" s="64">
        <f t="shared" si="24"/>
        <v>48541</v>
      </c>
      <c r="J235" s="64">
        <f t="shared" si="26"/>
        <v>0</v>
      </c>
      <c r="K235" s="101">
        <f>IFERROR(IF(D235=_Datum,Prognoseparameter!$C$14,
IF(_WachstumsrateKURZ="Bundesweit",IF(D235&gt;_Datum,
         K234+AVERAGE(F231:F234)*(1+_WR)*(1-(K234-VLOOKUP('Erkrankungs- und Strukturdaten'!$C$45,$D:$M,$K$1,FALSE))/$B$16),
         K236-$B$23*F236),
IF(D235&gt;_Datum,K234+G235,IF(G236="",K236/(K236^(1/N235)),K236-G236)))),"")</f>
        <v>0</v>
      </c>
      <c r="L235" s="64">
        <f>I235/'Erkrankungs- und Strukturdaten'!$C$7</f>
        <v>88256.363636363632</v>
      </c>
      <c r="M235" s="65">
        <f t="shared" si="27"/>
        <v>9.5251960152236761E-3</v>
      </c>
      <c r="N235" s="223"/>
      <c r="O235" s="221">
        <f t="shared" si="28"/>
        <v>1</v>
      </c>
    </row>
    <row r="236" spans="4:15" x14ac:dyDescent="0.2">
      <c r="D236" s="86">
        <v>44090</v>
      </c>
      <c r="E236" s="64">
        <f t="shared" si="21"/>
        <v>516</v>
      </c>
      <c r="F236" s="101">
        <v>516</v>
      </c>
      <c r="G236" s="140"/>
      <c r="H236" s="64">
        <f>E236/'Erkrankungs- und Strukturdaten'!$C$7</f>
        <v>938.18181818181813</v>
      </c>
      <c r="I236" s="64">
        <f t="shared" si="24"/>
        <v>49057</v>
      </c>
      <c r="J236" s="64">
        <f t="shared" si="26"/>
        <v>0</v>
      </c>
      <c r="K236" s="101">
        <f>IFERROR(IF(D236=_Datum,Prognoseparameter!$C$14,
IF(_WachstumsrateKURZ="Bundesweit",IF(D236&gt;_Datum,
         K235+AVERAGE(F232:F235)*(1+_WR)*(1-(K235-VLOOKUP('Erkrankungs- und Strukturdaten'!$C$45,$D:$M,$K$1,FALSE))/$B$16),
         K237-$B$23*F237),
IF(D236&gt;_Datum,K235+G236,IF(G237="",K237/(K237^(1/N236)),K237-G237)))),"")</f>
        <v>0</v>
      </c>
      <c r="L236" s="64">
        <f>I236/'Erkrankungs- und Strukturdaten'!$C$7</f>
        <v>89194.545454545441</v>
      </c>
      <c r="M236" s="65">
        <f t="shared" si="27"/>
        <v>1.0630188912465751E-2</v>
      </c>
      <c r="N236" s="223"/>
      <c r="O236" s="221">
        <f t="shared" si="28"/>
        <v>1</v>
      </c>
    </row>
    <row r="237" spans="4:15" x14ac:dyDescent="0.2">
      <c r="D237" s="86">
        <v>44091</v>
      </c>
      <c r="E237" s="64">
        <f t="shared" si="21"/>
        <v>499</v>
      </c>
      <c r="F237" s="101">
        <v>499</v>
      </c>
      <c r="G237" s="140"/>
      <c r="H237" s="64">
        <f>E237/'Erkrankungs- und Strukturdaten'!$C$7</f>
        <v>907.27272727272725</v>
      </c>
      <c r="I237" s="64">
        <f t="shared" si="24"/>
        <v>49556</v>
      </c>
      <c r="J237" s="64">
        <f t="shared" si="26"/>
        <v>0</v>
      </c>
      <c r="K237" s="101">
        <f>IFERROR(IF(D237=_Datum,Prognoseparameter!$C$14,
IF(_WachstumsrateKURZ="Bundesweit",IF(D237&gt;_Datum,
         K236+AVERAGE(F233:F236)*(1+_WR)*(1-(K236-VLOOKUP('Erkrankungs- und Strukturdaten'!$C$45,$D:$M,$K$1,FALSE))/$B$16),
         K238-$B$23*F238),
IF(D237&gt;_Datum,K236+G237,IF(G238="",K238/(K238^(1/N237)),K238-G238)))),"")</f>
        <v>0</v>
      </c>
      <c r="L237" s="64">
        <f>I237/'Erkrankungs- und Strukturdaten'!$C$7</f>
        <v>90101.818181818177</v>
      </c>
      <c r="M237" s="65">
        <f t="shared" si="27"/>
        <v>1.0171840919746418E-2</v>
      </c>
      <c r="N237" s="223"/>
      <c r="O237" s="221">
        <f t="shared" si="28"/>
        <v>1</v>
      </c>
    </row>
    <row r="238" spans="4:15" x14ac:dyDescent="0.2">
      <c r="D238" s="86">
        <v>44092</v>
      </c>
      <c r="E238" s="64">
        <f t="shared" si="21"/>
        <v>444</v>
      </c>
      <c r="F238" s="101">
        <v>444</v>
      </c>
      <c r="G238" s="140"/>
      <c r="H238" s="64">
        <f>E238/'Erkrankungs- und Strukturdaten'!$C$7</f>
        <v>807.27272727272725</v>
      </c>
      <c r="I238" s="64">
        <f t="shared" si="24"/>
        <v>50000</v>
      </c>
      <c r="J238" s="64">
        <f t="shared" si="26"/>
        <v>0</v>
      </c>
      <c r="K238" s="101">
        <f>IFERROR(IF(D238=_Datum,Prognoseparameter!$C$14,
IF(_WachstumsrateKURZ="Bundesweit",IF(D238&gt;_Datum,
         K237+AVERAGE(F234:F237)*(1+_WR)*(1-(K237-VLOOKUP('Erkrankungs- und Strukturdaten'!$C$45,$D:$M,$K$1,FALSE))/$B$16),
         K239-$B$23*F239),
IF(D238&gt;_Datum,K237+G238,IF(G239="",K239/(K239^(1/N238)),K239-G239)))),"")</f>
        <v>0</v>
      </c>
      <c r="L238" s="64">
        <f>I238/'Erkrankungs- und Strukturdaten'!$C$7</f>
        <v>90909.090909090897</v>
      </c>
      <c r="M238" s="65">
        <f t="shared" si="27"/>
        <v>8.9595609007990951E-3</v>
      </c>
      <c r="N238" s="223"/>
      <c r="O238" s="221">
        <f t="shared" si="28"/>
        <v>1</v>
      </c>
    </row>
    <row r="239" spans="4:15" x14ac:dyDescent="0.2">
      <c r="D239" s="86">
        <v>44093</v>
      </c>
      <c r="E239" s="64">
        <f t="shared" si="21"/>
        <v>284</v>
      </c>
      <c r="F239" s="101">
        <v>284</v>
      </c>
      <c r="G239" s="140"/>
      <c r="H239" s="64">
        <f>E239/'Erkrankungs- und Strukturdaten'!$C$7</f>
        <v>516.36363636363637</v>
      </c>
      <c r="I239" s="64">
        <f t="shared" si="24"/>
        <v>50284</v>
      </c>
      <c r="J239" s="64">
        <f t="shared" si="26"/>
        <v>0</v>
      </c>
      <c r="K239" s="101">
        <f>IFERROR(IF(D239=_Datum,Prognoseparameter!$C$14,
IF(_WachstumsrateKURZ="Bundesweit",IF(D239&gt;_Datum,
         K238+AVERAGE(F235:F238)*(1+_WR)*(1-(K238-VLOOKUP('Erkrankungs- und Strukturdaten'!$C$45,$D:$M,$K$1,FALSE))/$B$16),
         K240-$B$23*F240),
IF(D239&gt;_Datum,K238+G239,IF(G240="",K240/(K240^(1/N239)),K240-G240)))),"")</f>
        <v>0</v>
      </c>
      <c r="L239" s="64">
        <f>I239/'Erkrankungs- und Strukturdaten'!$C$7</f>
        <v>91425.454545454544</v>
      </c>
      <c r="M239" s="65">
        <f t="shared" si="27"/>
        <v>5.6800000000000002E-3</v>
      </c>
      <c r="N239" s="223"/>
      <c r="O239" s="221">
        <f t="shared" si="28"/>
        <v>1</v>
      </c>
    </row>
    <row r="240" spans="4:15" x14ac:dyDescent="0.2">
      <c r="D240" s="86">
        <v>44094</v>
      </c>
      <c r="E240" s="64">
        <f t="shared" si="21"/>
        <v>200</v>
      </c>
      <c r="F240" s="101">
        <v>200</v>
      </c>
      <c r="G240" s="140"/>
      <c r="H240" s="64">
        <f>E240/'Erkrankungs- und Strukturdaten'!$C$7</f>
        <v>363.63636363636363</v>
      </c>
      <c r="I240" s="64">
        <f t="shared" si="24"/>
        <v>50484</v>
      </c>
      <c r="J240" s="64">
        <f t="shared" si="26"/>
        <v>0</v>
      </c>
      <c r="K240" s="101">
        <f>IFERROR(IF(D240=_Datum,Prognoseparameter!$C$14,
IF(_WachstumsrateKURZ="Bundesweit",IF(D240&gt;_Datum,
         K239+AVERAGE(F236:F239)*(1+_WR)*(1-(K239-VLOOKUP('Erkrankungs- und Strukturdaten'!$C$45,$D:$M,$K$1,FALSE))/$B$16),
         K241-$B$23*F241),
IF(D240&gt;_Datum,K239+G240,IF(G241="",K241/(K241^(1/N240)),K241-G241)))),"")</f>
        <v>0</v>
      </c>
      <c r="L240" s="64">
        <f>I240/'Erkrankungs- und Strukturdaten'!$C$7</f>
        <v>91789.090909090897</v>
      </c>
      <c r="M240" s="65">
        <f t="shared" si="27"/>
        <v>3.9774083207382068E-3</v>
      </c>
      <c r="N240" s="223"/>
      <c r="O240" s="221">
        <f t="shared" si="28"/>
        <v>1</v>
      </c>
    </row>
    <row r="241" spans="4:15" x14ac:dyDescent="0.2">
      <c r="D241" s="86">
        <v>44095</v>
      </c>
      <c r="E241" s="64">
        <f t="shared" si="21"/>
        <v>395</v>
      </c>
      <c r="F241" s="101">
        <v>395</v>
      </c>
      <c r="G241" s="140"/>
      <c r="H241" s="64">
        <f>E241/'Erkrankungs- und Strukturdaten'!$C$7</f>
        <v>718.18181818181813</v>
      </c>
      <c r="I241" s="64">
        <f t="shared" si="24"/>
        <v>50879</v>
      </c>
      <c r="J241" s="64">
        <f t="shared" si="26"/>
        <v>0</v>
      </c>
      <c r="K241" s="101">
        <f>IFERROR(IF(D241=_Datum,Prognoseparameter!$C$14,
IF(_WachstumsrateKURZ="Bundesweit",IF(D241&gt;_Datum,
         K240+AVERAGE(F237:F240)*(1+_WR)*(1-(K240-VLOOKUP('Erkrankungs- und Strukturdaten'!$C$45,$D:$M,$K$1,FALSE))/$B$16),
         K242-$B$23*F242),
IF(D241&gt;_Datum,K240+G241,IF(G242="",K242/(K242^(1/N241)),K242-G242)))),"")</f>
        <v>0</v>
      </c>
      <c r="L241" s="64">
        <f>I241/'Erkrankungs- und Strukturdaten'!$C$7</f>
        <v>92507.272727272721</v>
      </c>
      <c r="M241" s="65">
        <f t="shared" si="27"/>
        <v>7.8242611520481734E-3</v>
      </c>
      <c r="N241" s="223"/>
      <c r="O241" s="221">
        <f t="shared" si="28"/>
        <v>1</v>
      </c>
    </row>
    <row r="242" spans="4:15" x14ac:dyDescent="0.2">
      <c r="D242" s="86">
        <v>44096</v>
      </c>
      <c r="E242" s="64">
        <f t="shared" si="21"/>
        <v>425</v>
      </c>
      <c r="F242" s="101">
        <v>425</v>
      </c>
      <c r="G242" s="140"/>
      <c r="H242" s="64">
        <f>E242/'Erkrankungs- und Strukturdaten'!$C$7</f>
        <v>772.72727272727263</v>
      </c>
      <c r="I242" s="64">
        <f t="shared" si="24"/>
        <v>51304</v>
      </c>
      <c r="J242" s="64">
        <f t="shared" si="26"/>
        <v>0</v>
      </c>
      <c r="K242" s="101">
        <f>IFERROR(IF(D242=_Datum,Prognoseparameter!$C$14,
IF(_WachstumsrateKURZ="Bundesweit",IF(D242&gt;_Datum,
         K241+AVERAGE(F238:F241)*(1+_WR)*(1-(K241-VLOOKUP('Erkrankungs- und Strukturdaten'!$C$45,$D:$M,$K$1,FALSE))/$B$16),
         K243-$B$23*F243),
IF(D242&gt;_Datum,K241+G242,IF(G243="",K243/(K243^(1/N242)),K243-G243)))),"")</f>
        <v>0</v>
      </c>
      <c r="L242" s="64">
        <f>I242/'Erkrankungs- und Strukturdaten'!$C$7</f>
        <v>93279.999999999985</v>
      </c>
      <c r="M242" s="65">
        <f t="shared" si="27"/>
        <v>8.3531515949605926E-3</v>
      </c>
      <c r="N242" s="223"/>
      <c r="O242" s="221">
        <f t="shared" si="28"/>
        <v>1</v>
      </c>
    </row>
    <row r="243" spans="4:15" x14ac:dyDescent="0.2">
      <c r="D243" s="86">
        <v>44097</v>
      </c>
      <c r="E243" s="64">
        <f t="shared" si="21"/>
        <v>389</v>
      </c>
      <c r="F243" s="101">
        <v>389</v>
      </c>
      <c r="G243" s="140"/>
      <c r="H243" s="64">
        <f>E243/'Erkrankungs- und Strukturdaten'!$C$7</f>
        <v>707.27272727272725</v>
      </c>
      <c r="I243" s="64">
        <f t="shared" si="24"/>
        <v>51693</v>
      </c>
      <c r="J243" s="64">
        <f t="shared" si="26"/>
        <v>0</v>
      </c>
      <c r="K243" s="101">
        <f>IFERROR(IF(D243=_Datum,Prognoseparameter!$C$14,
IF(_WachstumsrateKURZ="Bundesweit",IF(D243&gt;_Datum,
         K242+AVERAGE(F239:F242)*(1+_WR)*(1-(K242-VLOOKUP('Erkrankungs- und Strukturdaten'!$C$45,$D:$M,$K$1,FALSE))/$B$16),
         K244-$B$23*F244),
IF(D243&gt;_Datum,K242+G243,IF(G244="",K244/(K244^(1/N243)),K244-G244)))),"")</f>
        <v>0</v>
      </c>
      <c r="L243" s="64">
        <f>I243/'Erkrankungs- und Strukturdaten'!$C$7</f>
        <v>93987.272727272721</v>
      </c>
      <c r="M243" s="65">
        <f t="shared" si="27"/>
        <v>7.5822547949477622E-3</v>
      </c>
      <c r="N243" s="223"/>
      <c r="O243" s="221">
        <f t="shared" si="28"/>
        <v>1</v>
      </c>
    </row>
    <row r="244" spans="4:15" x14ac:dyDescent="0.2">
      <c r="D244" s="86">
        <v>44098</v>
      </c>
      <c r="E244" s="64">
        <f t="shared" si="21"/>
        <v>308</v>
      </c>
      <c r="F244" s="101">
        <v>308</v>
      </c>
      <c r="G244" s="140"/>
      <c r="H244" s="64">
        <f>E244/'Erkrankungs- und Strukturdaten'!$C$7</f>
        <v>560</v>
      </c>
      <c r="I244" s="64">
        <f t="shared" si="24"/>
        <v>52001</v>
      </c>
      <c r="J244" s="64">
        <f t="shared" si="26"/>
        <v>0</v>
      </c>
      <c r="K244" s="101">
        <f>IFERROR(IF(D244=_Datum,Prognoseparameter!$C$14,
IF(_WachstumsrateKURZ="Bundesweit",IF(D244&gt;_Datum,
         K243+AVERAGE(F240:F243)*(1+_WR)*(1-(K243-VLOOKUP('Erkrankungs- und Strukturdaten'!$C$45,$D:$M,$K$1,FALSE))/$B$16),
         K245-$B$23*F245),
IF(D244&gt;_Datum,K243+G244,IF(G245="",K245/(K245^(1/N244)),K245-G245)))),"")</f>
        <v>0</v>
      </c>
      <c r="L244" s="64">
        <f>I244/'Erkrankungs- und Strukturdaten'!$C$7</f>
        <v>94547.272727272721</v>
      </c>
      <c r="M244" s="65">
        <f t="shared" si="27"/>
        <v>5.9582535352949145E-3</v>
      </c>
      <c r="N244" s="223"/>
      <c r="O244" s="221">
        <f t="shared" si="28"/>
        <v>1</v>
      </c>
    </row>
    <row r="245" spans="4:15" x14ac:dyDescent="0.2">
      <c r="D245" s="86">
        <v>44099</v>
      </c>
      <c r="E245" s="64">
        <f t="shared" si="21"/>
        <v>359</v>
      </c>
      <c r="F245" s="101">
        <v>359</v>
      </c>
      <c r="G245" s="140"/>
      <c r="H245" s="64">
        <f>E245/'Erkrankungs- und Strukturdaten'!$C$7</f>
        <v>652.72727272727263</v>
      </c>
      <c r="I245" s="64">
        <f t="shared" si="24"/>
        <v>52360</v>
      </c>
      <c r="J245" s="64">
        <f t="shared" si="26"/>
        <v>0</v>
      </c>
      <c r="K245" s="101">
        <f>IFERROR(IF(D245=_Datum,Prognoseparameter!$C$14,
IF(_WachstumsrateKURZ="Bundesweit",IF(D245&gt;_Datum,
         K244+AVERAGE(F241:F244)*(1+_WR)*(1-(K244-VLOOKUP('Erkrankungs- und Strukturdaten'!$C$45,$D:$M,$K$1,FALSE))/$B$16),
         K246-$B$23*F246),
IF(D245&gt;_Datum,K244+G245,IF(G246="",K246/(K246^(1/N245)),K246-G246)))),"")</f>
        <v>0</v>
      </c>
      <c r="L245" s="64">
        <f>I245/'Erkrankungs- und Strukturdaten'!$C$7</f>
        <v>95199.999999999985</v>
      </c>
      <c r="M245" s="65">
        <f t="shared" si="27"/>
        <v>6.9037133901271126E-3</v>
      </c>
      <c r="N245" s="223"/>
      <c r="O245" s="221">
        <f t="shared" si="28"/>
        <v>1</v>
      </c>
    </row>
    <row r="246" spans="4:15" x14ac:dyDescent="0.2">
      <c r="D246" s="86">
        <v>44100</v>
      </c>
      <c r="E246" s="64">
        <f t="shared" si="21"/>
        <v>222</v>
      </c>
      <c r="F246" s="101">
        <v>222</v>
      </c>
      <c r="G246" s="140"/>
      <c r="H246" s="64">
        <f>E246/'Erkrankungs- und Strukturdaten'!$C$7</f>
        <v>403.63636363636363</v>
      </c>
      <c r="I246" s="64">
        <f t="shared" si="24"/>
        <v>52582</v>
      </c>
      <c r="J246" s="64">
        <f t="shared" si="26"/>
        <v>0</v>
      </c>
      <c r="K246" s="101">
        <f>IFERROR(IF(D246=_Datum,Prognoseparameter!$C$14,
IF(_WachstumsrateKURZ="Bundesweit",IF(D246&gt;_Datum,
         K245+AVERAGE(F242:F245)*(1+_WR)*(1-(K245-VLOOKUP('Erkrankungs- und Strukturdaten'!$C$45,$D:$M,$K$1,FALSE))/$B$16),
         K247-$B$23*F247),
IF(D246&gt;_Datum,K245+G246,IF(G247="",K247/(K247^(1/N246)),K247-G247)))),"")</f>
        <v>0</v>
      </c>
      <c r="L246" s="64">
        <f>I246/'Erkrankungs- und Strukturdaten'!$C$7</f>
        <v>95603.636363636353</v>
      </c>
      <c r="M246" s="65">
        <f t="shared" si="27"/>
        <v>4.2398777692895344E-3</v>
      </c>
      <c r="N246" s="223"/>
      <c r="O246" s="221">
        <f t="shared" si="28"/>
        <v>1</v>
      </c>
    </row>
    <row r="247" spans="4:15" x14ac:dyDescent="0.2">
      <c r="D247" s="86">
        <v>44101</v>
      </c>
      <c r="E247" s="64">
        <f t="shared" si="21"/>
        <v>120</v>
      </c>
      <c r="F247" s="101">
        <v>120</v>
      </c>
      <c r="G247" s="140"/>
      <c r="H247" s="64">
        <f>E247/'Erkrankungs- und Strukturdaten'!$C$7</f>
        <v>218.18181818181816</v>
      </c>
      <c r="I247" s="64">
        <f t="shared" si="24"/>
        <v>52702</v>
      </c>
      <c r="J247" s="64">
        <f t="shared" si="26"/>
        <v>0</v>
      </c>
      <c r="K247" s="101">
        <f>IFERROR(IF(D247=_Datum,Prognoseparameter!$C$14,
IF(_WachstumsrateKURZ="Bundesweit",IF(D247&gt;_Datum,
         K246+AVERAGE(F243:F246)*(1+_WR)*(1-(K246-VLOOKUP('Erkrankungs- und Strukturdaten'!$C$45,$D:$M,$K$1,FALSE))/$B$16),
         K248-$B$23*F248),
IF(D247&gt;_Datum,K246+G247,IF(G248="",K248/(K248^(1/N247)),K248-G248)))),"")</f>
        <v>0</v>
      </c>
      <c r="L247" s="64">
        <f>I247/'Erkrankungs- und Strukturdaten'!$C$7</f>
        <v>95821.818181818177</v>
      </c>
      <c r="M247" s="65">
        <f t="shared" si="27"/>
        <v>2.2821497850975619E-3</v>
      </c>
      <c r="N247" s="223"/>
      <c r="O247" s="221">
        <f t="shared" si="28"/>
        <v>1</v>
      </c>
    </row>
    <row r="248" spans="4:15" x14ac:dyDescent="0.2">
      <c r="D248" s="86">
        <v>44102</v>
      </c>
      <c r="E248" s="64">
        <f t="shared" si="21"/>
        <v>368</v>
      </c>
      <c r="F248" s="101">
        <v>368</v>
      </c>
      <c r="G248" s="140"/>
      <c r="H248" s="64">
        <f>E248/'Erkrankungs- und Strukturdaten'!$C$7</f>
        <v>669.09090909090901</v>
      </c>
      <c r="I248" s="64">
        <f t="shared" si="24"/>
        <v>53070</v>
      </c>
      <c r="J248" s="64">
        <f t="shared" si="26"/>
        <v>0</v>
      </c>
      <c r="K248" s="101">
        <f>IFERROR(IF(D248=_Datum,Prognoseparameter!$C$14,
IF(_WachstumsrateKURZ="Bundesweit",IF(D248&gt;_Datum,
         K247+AVERAGE(F244:F247)*(1+_WR)*(1-(K247-VLOOKUP('Erkrankungs- und Strukturdaten'!$C$45,$D:$M,$K$1,FALSE))/$B$16),
         K249-$B$23*F249),
IF(D248&gt;_Datum,K247+G248,IF(G249="",K249/(K249^(1/N248)),K249-G249)))),"")</f>
        <v>0</v>
      </c>
      <c r="L248" s="64">
        <f>I248/'Erkrankungs- und Strukturdaten'!$C$7</f>
        <v>96490.909090909088</v>
      </c>
      <c r="M248" s="65">
        <f t="shared" si="27"/>
        <v>6.9826572046601644E-3</v>
      </c>
      <c r="N248" s="223"/>
      <c r="O248" s="221">
        <f t="shared" si="28"/>
        <v>1</v>
      </c>
    </row>
    <row r="249" spans="4:15" x14ac:dyDescent="0.2">
      <c r="D249" s="86">
        <v>44103</v>
      </c>
      <c r="E249" s="64">
        <f t="shared" si="21"/>
        <v>449</v>
      </c>
      <c r="F249" s="101">
        <v>449</v>
      </c>
      <c r="G249" s="140"/>
      <c r="H249" s="64">
        <f>E249/'Erkrankungs- und Strukturdaten'!$C$7</f>
        <v>816.36363636363626</v>
      </c>
      <c r="I249" s="64">
        <f t="shared" si="24"/>
        <v>53519</v>
      </c>
      <c r="J249" s="64">
        <f t="shared" si="26"/>
        <v>0</v>
      </c>
      <c r="K249" s="101">
        <f>IFERROR(IF(D249=_Datum,Prognoseparameter!$C$14,
IF(_WachstumsrateKURZ="Bundesweit",IF(D249&gt;_Datum,
         K248+AVERAGE(F245:F248)*(1+_WR)*(1-(K248-VLOOKUP('Erkrankungs- und Strukturdaten'!$C$45,$D:$M,$K$1,FALSE))/$B$16),
         K250-$B$23*F250),
IF(D249&gt;_Datum,K248+G249,IF(G250="",K250/(K250^(1/N249)),K250-G250)))),"")</f>
        <v>0</v>
      </c>
      <c r="L249" s="64">
        <f>I249/'Erkrankungs- und Strukturdaten'!$C$7</f>
        <v>97307.272727272721</v>
      </c>
      <c r="M249" s="65">
        <f t="shared" si="27"/>
        <v>8.4605238364424337E-3</v>
      </c>
      <c r="N249" s="223"/>
      <c r="O249" s="221">
        <f t="shared" si="28"/>
        <v>1</v>
      </c>
    </row>
    <row r="250" spans="4:15" x14ac:dyDescent="0.2">
      <c r="D250" s="86">
        <v>44104</v>
      </c>
      <c r="E250" s="64">
        <f t="shared" si="21"/>
        <v>540</v>
      </c>
      <c r="F250" s="101">
        <v>540</v>
      </c>
      <c r="G250" s="140"/>
      <c r="H250" s="64">
        <f>E250/'Erkrankungs- und Strukturdaten'!$C$7</f>
        <v>981.81818181818176</v>
      </c>
      <c r="I250" s="64">
        <f t="shared" si="24"/>
        <v>54059</v>
      </c>
      <c r="J250" s="64">
        <f t="shared" si="26"/>
        <v>0</v>
      </c>
      <c r="K250" s="101">
        <f>IFERROR(IF(D250=_Datum,Prognoseparameter!$C$14,
IF(_WachstumsrateKURZ="Bundesweit",IF(D250&gt;_Datum,
         K249+AVERAGE(F246:F249)*(1+_WR)*(1-(K249-VLOOKUP('Erkrankungs- und Strukturdaten'!$C$45,$D:$M,$K$1,FALSE))/$B$16),
         K251-$B$23*F251),
IF(D250&gt;_Datum,K249+G250,IF(G251="",K251/(K251^(1/N250)),K251-G251)))),"")</f>
        <v>0</v>
      </c>
      <c r="L250" s="64">
        <f>I250/'Erkrankungs- und Strukturdaten'!$C$7</f>
        <v>98289.090909090897</v>
      </c>
      <c r="M250" s="65">
        <f t="shared" si="27"/>
        <v>1.0089874623965321E-2</v>
      </c>
      <c r="N250" s="223"/>
      <c r="O250" s="221">
        <f t="shared" si="28"/>
        <v>1</v>
      </c>
    </row>
    <row r="251" spans="4:15" x14ac:dyDescent="0.2">
      <c r="D251" s="86">
        <v>44105</v>
      </c>
      <c r="E251" s="64">
        <f t="shared" si="21"/>
        <v>601</v>
      </c>
      <c r="F251" s="101">
        <v>601</v>
      </c>
      <c r="G251" s="140"/>
      <c r="H251" s="64">
        <f>E251/'Erkrankungs- und Strukturdaten'!$C$7</f>
        <v>1092.7272727272727</v>
      </c>
      <c r="I251" s="64">
        <f t="shared" si="24"/>
        <v>54660</v>
      </c>
      <c r="J251" s="64">
        <f t="shared" si="26"/>
        <v>0</v>
      </c>
      <c r="K251" s="101">
        <f>IFERROR(IF(D251=_Datum,Prognoseparameter!$C$14,
IF(_WachstumsrateKURZ="Bundesweit",IF(D251&gt;_Datum,
         K250+AVERAGE(F247:F250)*(1+_WR)*(1-(K250-VLOOKUP('Erkrankungs- und Strukturdaten'!$C$45,$D:$M,$K$1,FALSE))/$B$16),
         K252-$B$23*F252),
IF(D251&gt;_Datum,K250+G251,IF(G252="",K252/(K252^(1/N251)),K252-G252)))),"")</f>
        <v>0</v>
      </c>
      <c r="L251" s="64">
        <f>I251/'Erkrankungs- und Strukturdaten'!$C$7</f>
        <v>99381.818181818177</v>
      </c>
      <c r="M251" s="65">
        <f t="shared" si="27"/>
        <v>1.1117482750328344E-2</v>
      </c>
      <c r="N251" s="223"/>
      <c r="O251" s="221">
        <f t="shared" si="28"/>
        <v>1</v>
      </c>
    </row>
    <row r="252" spans="4:15" x14ac:dyDescent="0.2">
      <c r="D252" s="86">
        <v>44106</v>
      </c>
      <c r="E252" s="64">
        <f t="shared" si="21"/>
        <v>677</v>
      </c>
      <c r="F252" s="101">
        <v>677</v>
      </c>
      <c r="G252" s="140"/>
      <c r="H252" s="64">
        <f>E252/'Erkrankungs- und Strukturdaten'!$C$7</f>
        <v>1230.9090909090908</v>
      </c>
      <c r="I252" s="64">
        <f t="shared" si="24"/>
        <v>55337</v>
      </c>
      <c r="J252" s="64">
        <f t="shared" si="26"/>
        <v>0</v>
      </c>
      <c r="K252" s="101">
        <f>IFERROR(IF(D252=_Datum,Prognoseparameter!$C$14,
IF(_WachstumsrateKURZ="Bundesweit",IF(D252&gt;_Datum,
         K251+AVERAGE(F248:F251)*(1+_WR)*(1-(K251-VLOOKUP('Erkrankungs- und Strukturdaten'!$C$45,$D:$M,$K$1,FALSE))/$B$16),
         K253-$B$23*F253),
IF(D252&gt;_Datum,K251+G252,IF(G253="",K253/(K253^(1/N252)),K253-G253)))),"")</f>
        <v>0</v>
      </c>
      <c r="L252" s="64">
        <f>I252/'Erkrankungs- und Strukturdaten'!$C$7</f>
        <v>100612.72727272726</v>
      </c>
      <c r="M252" s="65">
        <f t="shared" si="27"/>
        <v>1.2385656787413098E-2</v>
      </c>
      <c r="N252" s="223"/>
      <c r="O252" s="221">
        <f t="shared" si="28"/>
        <v>1</v>
      </c>
    </row>
    <row r="253" spans="4:15" x14ac:dyDescent="0.2">
      <c r="D253" s="86">
        <v>44107</v>
      </c>
      <c r="E253" s="64">
        <f t="shared" si="21"/>
        <v>512</v>
      </c>
      <c r="F253" s="101">
        <v>512</v>
      </c>
      <c r="G253" s="140"/>
      <c r="H253" s="64">
        <f>E253/'Erkrankungs- und Strukturdaten'!$C$7</f>
        <v>930.90909090909088</v>
      </c>
      <c r="I253" s="64">
        <f t="shared" si="24"/>
        <v>55849</v>
      </c>
      <c r="J253" s="64">
        <f t="shared" si="26"/>
        <v>0</v>
      </c>
      <c r="K253" s="101">
        <f>IFERROR(IF(D253=_Datum,Prognoseparameter!$C$14,
IF(_WachstumsrateKURZ="Bundesweit",IF(D253&gt;_Datum,
         K252+AVERAGE(F249:F252)*(1+_WR)*(1-(K252-VLOOKUP('Erkrankungs- und Strukturdaten'!$C$45,$D:$M,$K$1,FALSE))/$B$16),
         K254-$B$23*F254),
IF(D253&gt;_Datum,K252+G253,IF(G254="",K254/(K254^(1/N253)),K254-G254)))),"")</f>
        <v>0</v>
      </c>
      <c r="L253" s="64">
        <f>I253/'Erkrankungs- und Strukturdaten'!$C$7</f>
        <v>101543.63636363635</v>
      </c>
      <c r="M253" s="65">
        <f t="shared" si="27"/>
        <v>9.2523989374198087E-3</v>
      </c>
      <c r="N253" s="223"/>
      <c r="O253" s="221">
        <f t="shared" si="28"/>
        <v>1</v>
      </c>
    </row>
    <row r="254" spans="4:15" x14ac:dyDescent="0.2">
      <c r="D254" s="86">
        <v>44108</v>
      </c>
      <c r="E254" s="64">
        <f t="shared" si="21"/>
        <v>316</v>
      </c>
      <c r="F254" s="101">
        <v>316</v>
      </c>
      <c r="G254" s="140"/>
      <c r="H254" s="64">
        <f>E254/'Erkrankungs- und Strukturdaten'!$C$7</f>
        <v>574.5454545454545</v>
      </c>
      <c r="I254" s="64">
        <f t="shared" si="24"/>
        <v>56165</v>
      </c>
      <c r="J254" s="64">
        <f t="shared" si="26"/>
        <v>0</v>
      </c>
      <c r="K254" s="101">
        <f>IFERROR(IF(D254=_Datum,Prognoseparameter!$C$14,
IF(_WachstumsrateKURZ="Bundesweit",IF(D254&gt;_Datum,
         K253+AVERAGE(F250:F253)*(1+_WR)*(1-(K253-VLOOKUP('Erkrankungs- und Strukturdaten'!$C$45,$D:$M,$K$1,FALSE))/$B$16),
         K255-$B$23*F255),
IF(D254&gt;_Datum,K253+G254,IF(G255="",K255/(K255^(1/N254)),K255-G255)))),"")</f>
        <v>0</v>
      </c>
      <c r="L254" s="64">
        <f>I254/'Erkrankungs- und Strukturdaten'!$C$7</f>
        <v>102118.18181818181</v>
      </c>
      <c r="M254" s="65">
        <f t="shared" si="27"/>
        <v>5.6581138426829488E-3</v>
      </c>
      <c r="N254" s="223"/>
      <c r="O254" s="221">
        <f t="shared" si="28"/>
        <v>1</v>
      </c>
    </row>
    <row r="255" spans="4:15" x14ac:dyDescent="0.2">
      <c r="D255" s="86">
        <v>44109</v>
      </c>
      <c r="E255" s="64">
        <f t="shared" si="21"/>
        <v>1018</v>
      </c>
      <c r="F255" s="101">
        <v>1018</v>
      </c>
      <c r="G255" s="140"/>
      <c r="H255" s="64">
        <f>E255/'Erkrankungs- und Strukturdaten'!$C$7</f>
        <v>1850.9090909090908</v>
      </c>
      <c r="I255" s="64">
        <f t="shared" si="24"/>
        <v>57183</v>
      </c>
      <c r="J255" s="64">
        <f t="shared" si="26"/>
        <v>0</v>
      </c>
      <c r="K255" s="101">
        <f>IFERROR(IF(D255=_Datum,Prognoseparameter!$C$14,
IF(_WachstumsrateKURZ="Bundesweit",IF(D255&gt;_Datum,
         K254+AVERAGE(F251:F254)*(1+_WR)*(1-(K254-VLOOKUP('Erkrankungs- und Strukturdaten'!$C$45,$D:$M,$K$1,FALSE))/$B$16),
         K256-$B$23*F256),
IF(D255&gt;_Datum,K254+G255,IF(G256="",K256/(K256^(1/N255)),K256-G256)))),"")</f>
        <v>0</v>
      </c>
      <c r="L255" s="64">
        <f>I255/'Erkrankungs- und Strukturdaten'!$C$7</f>
        <v>103969.0909090909</v>
      </c>
      <c r="M255" s="65">
        <f t="shared" si="27"/>
        <v>1.812516691889967E-2</v>
      </c>
      <c r="N255" s="223"/>
      <c r="O255" s="221">
        <f t="shared" si="28"/>
        <v>1</v>
      </c>
    </row>
    <row r="256" spans="4:15" x14ac:dyDescent="0.2">
      <c r="D256" s="86">
        <v>44110</v>
      </c>
      <c r="E256" s="64">
        <f t="shared" si="21"/>
        <v>1097</v>
      </c>
      <c r="F256" s="101">
        <v>1097</v>
      </c>
      <c r="G256" s="140"/>
      <c r="H256" s="64">
        <f>E256/'Erkrankungs- und Strukturdaten'!$C$7</f>
        <v>1994.5454545454543</v>
      </c>
      <c r="I256" s="64">
        <f t="shared" si="24"/>
        <v>58280</v>
      </c>
      <c r="J256" s="64">
        <f t="shared" si="26"/>
        <v>0</v>
      </c>
      <c r="K256" s="101">
        <f>IFERROR(IF(D256=_Datum,Prognoseparameter!$C$14,
IF(_WachstumsrateKURZ="Bundesweit",IF(D256&gt;_Datum,
         K255+AVERAGE(F252:F255)*(1+_WR)*(1-(K255-VLOOKUP('Erkrankungs- und Strukturdaten'!$C$45,$D:$M,$K$1,FALSE))/$B$16),
         K257-$B$23*F257),
IF(D256&gt;_Datum,K255+G256,IF(G257="",K257/(K257^(1/N256)),K257-G257)))),"")</f>
        <v>0</v>
      </c>
      <c r="L256" s="64">
        <f>I256/'Erkrankungs- und Strukturdaten'!$C$7</f>
        <v>105963.63636363635</v>
      </c>
      <c r="M256" s="65">
        <f t="shared" si="27"/>
        <v>1.918402322368536E-2</v>
      </c>
      <c r="N256" s="223"/>
      <c r="O256" s="221">
        <f t="shared" si="28"/>
        <v>1</v>
      </c>
    </row>
    <row r="257" spans="1:15" x14ac:dyDescent="0.2">
      <c r="D257" s="86">
        <v>44111</v>
      </c>
      <c r="E257" s="64">
        <f t="shared" si="21"/>
        <v>1377</v>
      </c>
      <c r="F257" s="101">
        <v>1377</v>
      </c>
      <c r="G257" s="140"/>
      <c r="H257" s="64">
        <f>E257/'Erkrankungs- und Strukturdaten'!$C$7</f>
        <v>2503.6363636363635</v>
      </c>
      <c r="I257" s="64">
        <f t="shared" si="24"/>
        <v>59657</v>
      </c>
      <c r="J257" s="64">
        <f t="shared" si="26"/>
        <v>0</v>
      </c>
      <c r="K257" s="101">
        <f>IFERROR(IF(D257=_Datum,Prognoseparameter!$C$14,
IF(_WachstumsrateKURZ="Bundesweit",IF(D257&gt;_Datum,
         K256+AVERAGE(F253:F256)*(1+_WR)*(1-(K256-VLOOKUP('Erkrankungs- und Strukturdaten'!$C$45,$D:$M,$K$1,FALSE))/$B$16),
         K258-$B$23*F258),
IF(D257&gt;_Datum,K256+G257,IF(G258="",K258/(K258^(1/N257)),K258-G258)))),"")</f>
        <v>0</v>
      </c>
      <c r="L257" s="64">
        <f>I257/'Erkrankungs- und Strukturdaten'!$C$7</f>
        <v>108467.27272727272</v>
      </c>
      <c r="M257" s="65">
        <f t="shared" si="27"/>
        <v>2.3627316403568976E-2</v>
      </c>
      <c r="N257" s="223"/>
      <c r="O257" s="221">
        <f t="shared" si="28"/>
        <v>1</v>
      </c>
    </row>
    <row r="258" spans="1:15" x14ac:dyDescent="0.2">
      <c r="D258" s="86">
        <v>44112</v>
      </c>
      <c r="E258" s="64">
        <f t="shared" si="21"/>
        <v>1471</v>
      </c>
      <c r="F258" s="101">
        <v>1471</v>
      </c>
      <c r="G258" s="140"/>
      <c r="H258" s="64">
        <f>E258/'Erkrankungs- und Strukturdaten'!$C$7</f>
        <v>2674.5454545454545</v>
      </c>
      <c r="I258" s="64">
        <f t="shared" si="24"/>
        <v>61128</v>
      </c>
      <c r="J258" s="64">
        <f t="shared" si="26"/>
        <v>0</v>
      </c>
      <c r="K258" s="101">
        <f>IFERROR(IF(D258=_Datum,Prognoseparameter!$C$14,
IF(_WachstumsrateKURZ="Bundesweit",IF(D258&gt;_Datum,
         K257+AVERAGE(F254:F257)*(1+_WR)*(1-(K257-VLOOKUP('Erkrankungs- und Strukturdaten'!$C$45,$D:$M,$K$1,FALSE))/$B$16),
         K259-$B$23*F259),
IF(D258&gt;_Datum,K257+G258,IF(G259="",K259/(K259^(1/N258)),K259-G259)))),"")</f>
        <v>0</v>
      </c>
      <c r="L258" s="64">
        <f>I258/'Erkrankungs- und Strukturdaten'!$C$7</f>
        <v>111141.81818181818</v>
      </c>
      <c r="M258" s="65">
        <f t="shared" si="27"/>
        <v>2.4657626095847932E-2</v>
      </c>
      <c r="N258" s="223"/>
      <c r="O258" s="221">
        <f t="shared" si="28"/>
        <v>1</v>
      </c>
    </row>
    <row r="259" spans="1:15" x14ac:dyDescent="0.2">
      <c r="D259" s="86">
        <v>44113</v>
      </c>
      <c r="E259" s="64">
        <f t="shared" si="21"/>
        <v>1722</v>
      </c>
      <c r="F259" s="101">
        <v>1722</v>
      </c>
      <c r="G259" s="140"/>
      <c r="H259" s="64">
        <f>E259/'Erkrankungs- und Strukturdaten'!$C$7</f>
        <v>3130.9090909090905</v>
      </c>
      <c r="I259" s="64">
        <f t="shared" si="24"/>
        <v>62850</v>
      </c>
      <c r="J259" s="64">
        <f t="shared" si="26"/>
        <v>0</v>
      </c>
      <c r="K259" s="101">
        <f>IFERROR(IF(D259=_Datum,Prognoseparameter!$C$14,
IF(_WachstumsrateKURZ="Bundesweit",IF(D259&gt;_Datum,
         K258+AVERAGE(F255:F258)*(1+_WR)*(1-(K258-VLOOKUP('Erkrankungs- und Strukturdaten'!$C$45,$D:$M,$K$1,FALSE))/$B$16),
         K260-$B$23*F260),
IF(D259&gt;_Datum,K258+G259,IF(G260="",K260/(K260^(1/N259)),K260-G260)))),"")</f>
        <v>0</v>
      </c>
      <c r="L259" s="64">
        <f>I259/'Erkrankungs- und Strukturdaten'!$C$7</f>
        <v>114272.72727272726</v>
      </c>
      <c r="M259" s="65">
        <f t="shared" si="27"/>
        <v>2.8170396544954849E-2</v>
      </c>
      <c r="N259" s="163">
        <v>217</v>
      </c>
      <c r="O259" s="221">
        <f t="shared" si="28"/>
        <v>1</v>
      </c>
    </row>
    <row r="260" spans="1:15" x14ac:dyDescent="0.2">
      <c r="D260" s="86">
        <v>44114</v>
      </c>
      <c r="E260" s="64">
        <f t="shared" ref="E260:E323" si="29">IF(_AusgangswertKURZ="Bevölkerungsanteil",
$B$26*IF(F260=ROUNDDOWN(F260,0),F260,F260*VLOOKUP(WEEKDAY($D260,1),$A$51:$B$57,$B$1,FALSE)),
$B$17*IF(G260=ROUNDDOWN(G260,0),G260,G260*VLOOKUP(WEEKDAY($D260,1),$A$51:$B$57,$B$1,FALSE)))</f>
        <v>1251</v>
      </c>
      <c r="F260" s="101">
        <v>1251</v>
      </c>
      <c r="G260" s="140"/>
      <c r="H260" s="64">
        <f>E260/'Erkrankungs- und Strukturdaten'!$C$7</f>
        <v>2274.5454545454545</v>
      </c>
      <c r="I260" s="64">
        <f t="shared" si="24"/>
        <v>64101</v>
      </c>
      <c r="J260" s="64">
        <f t="shared" si="26"/>
        <v>0</v>
      </c>
      <c r="K260" s="101">
        <f>IFERROR(IF(D260=_Datum,Prognoseparameter!$C$14,
IF(_WachstumsrateKURZ="Bundesweit",IF(D260&gt;_Datum,
         K259+AVERAGE(F256:F259)*(1+_WR)*(1-(K259-VLOOKUP('Erkrankungs- und Strukturdaten'!$C$45,$D:$M,$K$1,FALSE))/$B$16),
         K261-$B$23*F261),
IF(D260&gt;_Datum,K259+G260,IF(G261="",K261/(K261^(1/N260)),K261-G261)))),"")</f>
        <v>0</v>
      </c>
      <c r="L260" s="64">
        <f>I260/'Erkrankungs- und Strukturdaten'!$C$7</f>
        <v>116547.27272727272</v>
      </c>
      <c r="M260" s="65">
        <f t="shared" si="27"/>
        <v>1.9904534606205251E-2</v>
      </c>
      <c r="N260" s="163">
        <v>217</v>
      </c>
      <c r="O260" s="221">
        <f t="shared" si="28"/>
        <v>1</v>
      </c>
    </row>
    <row r="261" spans="1:15" x14ac:dyDescent="0.2">
      <c r="A261" s="229"/>
      <c r="D261" s="86">
        <v>44115</v>
      </c>
      <c r="E261" s="64">
        <f t="shared" si="29"/>
        <v>812</v>
      </c>
      <c r="F261" s="101">
        <v>812</v>
      </c>
      <c r="G261" s="140"/>
      <c r="H261" s="64">
        <f>E261/'Erkrankungs- und Strukturdaten'!$C$7</f>
        <v>1476.3636363636363</v>
      </c>
      <c r="I261" s="64">
        <f t="shared" si="24"/>
        <v>64913</v>
      </c>
      <c r="J261" s="64">
        <f t="shared" si="26"/>
        <v>0</v>
      </c>
      <c r="K261" s="101">
        <f>IFERROR(IF(D261=_Datum,Prognoseparameter!$C$14,
IF(_WachstumsrateKURZ="Bundesweit",IF(D261&gt;_Datum,
         K260+AVERAGE(F257:F260)*(1+_WR)*(1-(K260-VLOOKUP('Erkrankungs- und Strukturdaten'!$C$45,$D:$M,$K$1,FALSE))/$B$16),
         K262-$B$23*F262),
IF(D261&gt;_Datum,K260+G261,IF(G262="",K262/(K262^(1/N261)),K262-G262)))),"")</f>
        <v>0</v>
      </c>
      <c r="L261" s="64">
        <f>I261/'Erkrankungs- und Strukturdaten'!$C$7</f>
        <v>118023.63636363635</v>
      </c>
      <c r="M261" s="65">
        <f t="shared" si="27"/>
        <v>1.2667509087221729E-2</v>
      </c>
      <c r="N261" s="163">
        <v>217</v>
      </c>
      <c r="O261" s="221">
        <f t="shared" si="28"/>
        <v>1</v>
      </c>
    </row>
    <row r="262" spans="1:15" x14ac:dyDescent="0.2">
      <c r="D262" s="86">
        <v>44116</v>
      </c>
      <c r="E262" s="64">
        <f t="shared" si="29"/>
        <v>2558</v>
      </c>
      <c r="F262" s="101">
        <v>2558</v>
      </c>
      <c r="G262" s="140"/>
      <c r="H262" s="64">
        <f>E262/'Erkrankungs- und Strukturdaten'!$C$7</f>
        <v>4650.9090909090901</v>
      </c>
      <c r="I262" s="64">
        <f t="shared" ref="I262:I325" si="30">I261+F262</f>
        <v>67471</v>
      </c>
      <c r="J262" s="64">
        <f t="shared" si="26"/>
        <v>0</v>
      </c>
      <c r="K262" s="101">
        <f>IFERROR(IF(D262=_Datum,Prognoseparameter!$C$14,
IF(_WachstumsrateKURZ="Bundesweit",IF(D262&gt;_Datum,
         K261+AVERAGE(F258:F261)*(1+_WR)*(1-(K261-VLOOKUP('Erkrankungs- und Strukturdaten'!$C$45,$D:$M,$K$1,FALSE))/$B$16),
         K263-$B$23*F263),
IF(D262&gt;_Datum,K261+G262,IF(G263="",K263/(K263^(1/N262)),K263-G263)))),"")</f>
        <v>0</v>
      </c>
      <c r="L262" s="64">
        <f>I262/'Erkrankungs- und Strukturdaten'!$C$7</f>
        <v>122674.54545454544</v>
      </c>
      <c r="M262" s="65">
        <f t="shared" si="27"/>
        <v>3.9406590359404123E-2</v>
      </c>
      <c r="N262" s="163">
        <v>217</v>
      </c>
      <c r="O262" s="221">
        <f t="shared" si="28"/>
        <v>1</v>
      </c>
    </row>
    <row r="263" spans="1:15" x14ac:dyDescent="0.2">
      <c r="D263" s="86">
        <v>44117</v>
      </c>
      <c r="E263" s="64">
        <f t="shared" si="29"/>
        <v>2687</v>
      </c>
      <c r="F263" s="101">
        <v>2687</v>
      </c>
      <c r="G263" s="140"/>
      <c r="H263" s="64">
        <f>E263/'Erkrankungs- und Strukturdaten'!$C$7</f>
        <v>4885.454545454545</v>
      </c>
      <c r="I263" s="64">
        <f t="shared" si="30"/>
        <v>70158</v>
      </c>
      <c r="J263" s="64">
        <f t="shared" si="26"/>
        <v>0</v>
      </c>
      <c r="K263" s="101">
        <f>IFERROR(IF(D263=_Datum,Prognoseparameter!$C$14,
IF(_WachstumsrateKURZ="Bundesweit",IF(D263&gt;_Datum,
         K262+AVERAGE(F259:F262)*(1+_WR)*(1-(K262-VLOOKUP('Erkrankungs- und Strukturdaten'!$C$45,$D:$M,$K$1,FALSE))/$B$16),
         K264-$B$23*F264),
IF(D263&gt;_Datum,K262+G263,IF(G264="",K264/(K264^(1/N263)),K264-G264)))),"")</f>
        <v>0</v>
      </c>
      <c r="L263" s="64">
        <f>I263/'Erkrankungs- und Strukturdaten'!$C$7</f>
        <v>127559.99999999999</v>
      </c>
      <c r="M263" s="65">
        <f t="shared" si="27"/>
        <v>3.9824517199982215E-2</v>
      </c>
      <c r="N263" s="163">
        <v>217</v>
      </c>
      <c r="O263" s="221">
        <f t="shared" si="28"/>
        <v>1</v>
      </c>
    </row>
    <row r="264" spans="1:15" x14ac:dyDescent="0.2">
      <c r="D264" s="86">
        <v>44118</v>
      </c>
      <c r="E264" s="64">
        <f t="shared" si="29"/>
        <v>2999</v>
      </c>
      <c r="F264" s="101">
        <v>2999</v>
      </c>
      <c r="G264" s="140"/>
      <c r="H264" s="64">
        <f>E264/'Erkrankungs- und Strukturdaten'!$C$7</f>
        <v>5452.7272727272721</v>
      </c>
      <c r="I264" s="64">
        <f t="shared" si="30"/>
        <v>73157</v>
      </c>
      <c r="J264" s="64">
        <f t="shared" si="26"/>
        <v>0</v>
      </c>
      <c r="K264" s="101">
        <f>IFERROR(IF(D264=_Datum,Prognoseparameter!$C$14,
IF(_WachstumsrateKURZ="Bundesweit",IF(D264&gt;_Datum,
         K263+AVERAGE(F260:F263)*(1+_WR)*(1-(K263-VLOOKUP('Erkrankungs- und Strukturdaten'!$C$45,$D:$M,$K$1,FALSE))/$B$16),
         K265-$B$23*F265),
IF(D264&gt;_Datum,K263+G264,IF(G265="",K265/(K265^(1/N264)),K265-G265)))),"")</f>
        <v>0</v>
      </c>
      <c r="L264" s="64">
        <f>I264/'Erkrankungs- und Strukturdaten'!$C$7</f>
        <v>133012.72727272726</v>
      </c>
      <c r="M264" s="65">
        <f t="shared" si="27"/>
        <v>4.2746372473559682E-2</v>
      </c>
      <c r="N264" s="163">
        <v>217</v>
      </c>
      <c r="O264" s="221">
        <f t="shared" si="28"/>
        <v>1</v>
      </c>
    </row>
    <row r="265" spans="1:15" x14ac:dyDescent="0.2">
      <c r="D265" s="86">
        <v>44119</v>
      </c>
      <c r="E265" s="64">
        <f t="shared" si="29"/>
        <v>3393</v>
      </c>
      <c r="F265" s="101">
        <v>3393</v>
      </c>
      <c r="G265" s="140"/>
      <c r="H265" s="64">
        <f>E265/'Erkrankungs- und Strukturdaten'!$C$7</f>
        <v>6169.090909090909</v>
      </c>
      <c r="I265" s="64">
        <f t="shared" si="30"/>
        <v>76550</v>
      </c>
      <c r="J265" s="64">
        <f t="shared" si="26"/>
        <v>0</v>
      </c>
      <c r="K265" s="101">
        <f>IFERROR(IF(D265=_Datum,Prognoseparameter!$C$14,
IF(_WachstumsrateKURZ="Bundesweit",IF(D265&gt;_Datum,
         K264+AVERAGE(F261:F264)*(1+_WR)*(1-(K264-VLOOKUP('Erkrankungs- und Strukturdaten'!$C$45,$D:$M,$K$1,FALSE))/$B$16),
         K266-$B$23*F266),
IF(D265&gt;_Datum,K264+G265,IF(G266="",K266/(K266^(1/N265)),K266-G266)))),"")</f>
        <v>0</v>
      </c>
      <c r="L265" s="64">
        <f>I265/'Erkrankungs- und Strukturdaten'!$C$7</f>
        <v>139181.81818181818</v>
      </c>
      <c r="M265" s="65">
        <f t="shared" si="27"/>
        <v>4.6379703924436487E-2</v>
      </c>
      <c r="N265" s="163">
        <v>217</v>
      </c>
      <c r="O265" s="221">
        <f t="shared" si="28"/>
        <v>1</v>
      </c>
    </row>
    <row r="266" spans="1:15" x14ac:dyDescent="0.2">
      <c r="D266" s="86">
        <v>44120</v>
      </c>
      <c r="E266" s="64">
        <f t="shared" si="29"/>
        <v>3680</v>
      </c>
      <c r="F266" s="101">
        <v>3680</v>
      </c>
      <c r="G266" s="140"/>
      <c r="H266" s="64">
        <f>E266/'Erkrankungs- und Strukturdaten'!$C$7</f>
        <v>6690.9090909090901</v>
      </c>
      <c r="I266" s="64">
        <f t="shared" si="30"/>
        <v>80230</v>
      </c>
      <c r="J266" s="64">
        <f t="shared" si="26"/>
        <v>0</v>
      </c>
      <c r="K266" s="101">
        <f>IFERROR(IF(D266=_Datum,Prognoseparameter!$C$14,
IF(_WachstumsrateKURZ="Bundesweit",IF(D266&gt;_Datum,
         K265+AVERAGE(F262:F265)*(1+_WR)*(1-(K265-VLOOKUP('Erkrankungs- und Strukturdaten'!$C$45,$D:$M,$K$1,FALSE))/$B$16),
         K267-$B$23*F267),
IF(D266&gt;_Datum,K265+G266,IF(G267="",K267/(K267^(1/N266)),K267-G267)))),"")</f>
        <v>0</v>
      </c>
      <c r="L266" s="64">
        <f>I266/'Erkrankungs- und Strukturdaten'!$C$7</f>
        <v>145872.72727272726</v>
      </c>
      <c r="M266" s="65">
        <f t="shared" si="27"/>
        <v>4.80731548007838E-2</v>
      </c>
      <c r="N266" s="163">
        <v>217</v>
      </c>
      <c r="O266" s="221">
        <f t="shared" si="28"/>
        <v>1</v>
      </c>
    </row>
    <row r="267" spans="1:15" x14ac:dyDescent="0.2">
      <c r="D267" s="86">
        <v>44121</v>
      </c>
      <c r="E267" s="64">
        <f t="shared" si="29"/>
        <v>2379</v>
      </c>
      <c r="F267" s="101">
        <v>2379</v>
      </c>
      <c r="G267" s="140"/>
      <c r="H267" s="64">
        <f>E267/'Erkrankungs- und Strukturdaten'!$C$7</f>
        <v>4325.454545454545</v>
      </c>
      <c r="I267" s="64">
        <f t="shared" si="30"/>
        <v>82609</v>
      </c>
      <c r="J267" s="64">
        <f t="shared" si="26"/>
        <v>0</v>
      </c>
      <c r="K267" s="101">
        <f>IFERROR(IF(D267=_Datum,Prognoseparameter!$C$14,
IF(_WachstumsrateKURZ="Bundesweit",IF(D267&gt;_Datum,
         K266+AVERAGE(F263:F266)*(1+_WR)*(1-(K266-VLOOKUP('Erkrankungs- und Strukturdaten'!$C$45,$D:$M,$K$1,FALSE))/$B$16),
         K268-$B$23*F268),
IF(D267&gt;_Datum,K266+G267,IF(G268="",K268/(K268^(1/N267)),K268-G268)))),"")</f>
        <v>0</v>
      </c>
      <c r="L267" s="64">
        <f>I267/'Erkrankungs- und Strukturdaten'!$C$7</f>
        <v>150198.18181818179</v>
      </c>
      <c r="M267" s="65">
        <f t="shared" si="27"/>
        <v>2.9652249781877103E-2</v>
      </c>
      <c r="N267" s="163">
        <v>217</v>
      </c>
      <c r="O267" s="221">
        <f t="shared" si="28"/>
        <v>1</v>
      </c>
    </row>
    <row r="268" spans="1:15" x14ac:dyDescent="0.2">
      <c r="D268" s="86">
        <v>44122</v>
      </c>
      <c r="E268" s="64">
        <f t="shared" si="29"/>
        <v>1786</v>
      </c>
      <c r="F268" s="101">
        <v>1786</v>
      </c>
      <c r="G268" s="140"/>
      <c r="H268" s="64">
        <f>E268/'Erkrankungs- und Strukturdaten'!$C$7</f>
        <v>3247.272727272727</v>
      </c>
      <c r="I268" s="64">
        <f t="shared" si="30"/>
        <v>84395</v>
      </c>
      <c r="J268" s="64">
        <f t="shared" si="26"/>
        <v>0</v>
      </c>
      <c r="K268" s="101">
        <f>IFERROR(IF(D268=_Datum,Prognoseparameter!$C$14,
IF(_WachstumsrateKURZ="Bundesweit",IF(D268&gt;_Datum,
         K267+AVERAGE(F264:F267)*(1+_WR)*(1-(K267-VLOOKUP('Erkrankungs- und Strukturdaten'!$C$45,$D:$M,$K$1,FALSE))/$B$16),
         K269-$B$23*F269),
IF(D268&gt;_Datum,K267+G268,IF(G269="",K269/(K269^(1/N268)),K269-G269)))),"")</f>
        <v>0</v>
      </c>
      <c r="L268" s="64">
        <f>I268/'Erkrankungs- und Strukturdaten'!$C$7</f>
        <v>153445.45454545453</v>
      </c>
      <c r="M268" s="65">
        <f t="shared" si="27"/>
        <v>2.1619920347661876E-2</v>
      </c>
      <c r="N268" s="163">
        <v>217</v>
      </c>
      <c r="O268" s="221">
        <f t="shared" si="28"/>
        <v>1</v>
      </c>
    </row>
    <row r="269" spans="1:15" x14ac:dyDescent="0.2">
      <c r="D269" s="86">
        <v>44123</v>
      </c>
      <c r="E269" s="64">
        <f t="shared" si="29"/>
        <v>5397</v>
      </c>
      <c r="F269" s="101">
        <v>5397</v>
      </c>
      <c r="G269" s="140"/>
      <c r="H269" s="64">
        <f>E269/'Erkrankungs- und Strukturdaten'!$C$7</f>
        <v>9812.7272727272721</v>
      </c>
      <c r="I269" s="64">
        <f t="shared" si="30"/>
        <v>89792</v>
      </c>
      <c r="J269" s="64">
        <f t="shared" si="26"/>
        <v>0</v>
      </c>
      <c r="K269" s="101">
        <f>IFERROR(IF(D269=_Datum,Prognoseparameter!$C$14,
IF(_WachstumsrateKURZ="Bundesweit",IF(D269&gt;_Datum,
         K268+AVERAGE(F265:F268)*(1+_WR)*(1-(K268-VLOOKUP('Erkrankungs- und Strukturdaten'!$C$45,$D:$M,$K$1,FALSE))/$B$16),
         K270-$B$23*F270),
IF(D269&gt;_Datum,K268+G269,IF(G270="",K270/(K270^(1/N269)),K270-G270)))),"")</f>
        <v>0</v>
      </c>
      <c r="L269" s="64">
        <f>I269/'Erkrankungs- und Strukturdaten'!$C$7</f>
        <v>163258.18181818179</v>
      </c>
      <c r="M269" s="65">
        <f t="shared" si="27"/>
        <v>6.3949286095147814E-2</v>
      </c>
      <c r="N269" s="163">
        <v>217</v>
      </c>
      <c r="O269" s="221">
        <f t="shared" si="28"/>
        <v>1</v>
      </c>
    </row>
    <row r="270" spans="1:15" x14ac:dyDescent="0.2">
      <c r="D270" s="86">
        <v>44124</v>
      </c>
      <c r="E270" s="64">
        <f t="shared" si="29"/>
        <v>5675</v>
      </c>
      <c r="F270" s="101">
        <v>5675</v>
      </c>
      <c r="G270" s="140"/>
      <c r="H270" s="64">
        <f>E270/'Erkrankungs- und Strukturdaten'!$C$7</f>
        <v>10318.181818181818</v>
      </c>
      <c r="I270" s="64">
        <f t="shared" si="30"/>
        <v>95467</v>
      </c>
      <c r="J270" s="64">
        <f t="shared" si="26"/>
        <v>0</v>
      </c>
      <c r="K270" s="101">
        <f>IFERROR(IF(D270=_Datum,Prognoseparameter!$C$14,
IF(_WachstumsrateKURZ="Bundesweit",IF(D270&gt;_Datum,
         K269+AVERAGE(F266:F269)*(1+_WR)*(1-(K269-VLOOKUP('Erkrankungs- und Strukturdaten'!$C$45,$D:$M,$K$1,FALSE))/$B$16),
         K271-$B$23*F271),
IF(D270&gt;_Datum,K269+G270,IF(G271="",K271/(K271^(1/N270)),K271-G271)))),"")</f>
        <v>0</v>
      </c>
      <c r="L270" s="64">
        <f>I270/'Erkrankungs- und Strukturdaten'!$C$7</f>
        <v>173576.36363636362</v>
      </c>
      <c r="M270" s="65">
        <f t="shared" si="27"/>
        <v>6.3201621525302926E-2</v>
      </c>
      <c r="N270" s="163">
        <v>217</v>
      </c>
      <c r="O270" s="221">
        <f t="shared" si="28"/>
        <v>1</v>
      </c>
    </row>
    <row r="271" spans="1:15" x14ac:dyDescent="0.2">
      <c r="D271" s="86">
        <v>44125</v>
      </c>
      <c r="E271" s="64">
        <f t="shared" si="29"/>
        <v>6451</v>
      </c>
      <c r="F271" s="101">
        <v>6451</v>
      </c>
      <c r="G271" s="140"/>
      <c r="H271" s="64">
        <f>E271/'Erkrankungs- und Strukturdaten'!$C$7</f>
        <v>11729.090909090908</v>
      </c>
      <c r="I271" s="64">
        <f t="shared" si="30"/>
        <v>101918</v>
      </c>
      <c r="J271" s="64">
        <f t="shared" si="26"/>
        <v>0</v>
      </c>
      <c r="K271" s="101">
        <f>IFERROR(IF(D271=_Datum,Prognoseparameter!$C$14,
IF(_WachstumsrateKURZ="Bundesweit",IF(D271&gt;_Datum,
         K270+AVERAGE(F267:F270)*(1+_WR)*(1-(K270-VLOOKUP('Erkrankungs- und Strukturdaten'!$C$45,$D:$M,$K$1,FALSE))/$B$16),
         K272-$B$23*F272),
IF(D271&gt;_Datum,K270+G271,IF(G272="",K272/(K272^(1/N271)),K272-G272)))),"")</f>
        <v>0</v>
      </c>
      <c r="L271" s="64">
        <f>I271/'Erkrankungs- und Strukturdaten'!$C$7</f>
        <v>185305.45454545453</v>
      </c>
      <c r="M271" s="65">
        <f t="shared" si="27"/>
        <v>6.7573088082793012E-2</v>
      </c>
      <c r="N271" s="163">
        <v>217</v>
      </c>
      <c r="O271" s="221">
        <f t="shared" si="28"/>
        <v>1</v>
      </c>
    </row>
    <row r="272" spans="1:15" x14ac:dyDescent="0.2">
      <c r="D272" s="86">
        <v>44126</v>
      </c>
      <c r="E272" s="64">
        <f t="shared" si="29"/>
        <v>6771</v>
      </c>
      <c r="F272" s="101">
        <v>6771</v>
      </c>
      <c r="G272" s="140"/>
      <c r="H272" s="64">
        <f>E272/'Erkrankungs- und Strukturdaten'!$C$7</f>
        <v>12310.90909090909</v>
      </c>
      <c r="I272" s="64">
        <f t="shared" si="30"/>
        <v>108689</v>
      </c>
      <c r="J272" s="64">
        <f t="shared" si="26"/>
        <v>0</v>
      </c>
      <c r="K272" s="101">
        <f>IFERROR(IF(D272=_Datum,Prognoseparameter!$C$14,
IF(_WachstumsrateKURZ="Bundesweit",IF(D272&gt;_Datum,
         K271+AVERAGE(F268:F271)*(1+_WR)*(1-(K271-VLOOKUP('Erkrankungs- und Strukturdaten'!$C$45,$D:$M,$K$1,FALSE))/$B$16),
         K273-$B$23*F273),
IF(D272&gt;_Datum,K271+G272,IF(G273="",K273/(K273^(1/N272)),K273-G273)))),"")</f>
        <v>0</v>
      </c>
      <c r="L272" s="64">
        <f>I272/'Erkrankungs- und Strukturdaten'!$C$7</f>
        <v>197616.36363636362</v>
      </c>
      <c r="M272" s="65">
        <f t="shared" si="27"/>
        <v>6.6435762083243394E-2</v>
      </c>
      <c r="N272" s="163">
        <v>217</v>
      </c>
      <c r="O272" s="221">
        <f t="shared" si="28"/>
        <v>1</v>
      </c>
    </row>
    <row r="273" spans="4:15" x14ac:dyDescent="0.2">
      <c r="D273" s="86">
        <v>44127</v>
      </c>
      <c r="E273" s="64">
        <f t="shared" si="29"/>
        <v>7505</v>
      </c>
      <c r="F273" s="101">
        <v>7505</v>
      </c>
      <c r="G273" s="140"/>
      <c r="H273" s="64">
        <f>E273/'Erkrankungs- und Strukturdaten'!$C$7</f>
        <v>13645.454545454544</v>
      </c>
      <c r="I273" s="64">
        <f t="shared" si="30"/>
        <v>116194</v>
      </c>
      <c r="J273" s="64">
        <f t="shared" si="26"/>
        <v>0</v>
      </c>
      <c r="K273" s="101">
        <f>IFERROR(IF(D273=_Datum,Prognoseparameter!$C$14,
IF(_WachstumsrateKURZ="Bundesweit",IF(D273&gt;_Datum,
         K272+AVERAGE(F269:F272)*(1+_WR)*(1-(K272-VLOOKUP('Erkrankungs- und Strukturdaten'!$C$45,$D:$M,$K$1,FALSE))/$B$16),
         K274-$B$23*F274),
IF(D273&gt;_Datum,K272+G273,IF(G274="",K274/(K274^(1/N273)),K274-G274)))),"")</f>
        <v>0</v>
      </c>
      <c r="L273" s="64">
        <f>I273/'Erkrankungs- und Strukturdaten'!$C$7</f>
        <v>211261.81818181818</v>
      </c>
      <c r="M273" s="65">
        <f t="shared" si="27"/>
        <v>6.9050225873823479E-2</v>
      </c>
      <c r="N273" s="163">
        <v>217</v>
      </c>
      <c r="O273" s="221">
        <f t="shared" si="28"/>
        <v>1</v>
      </c>
    </row>
    <row r="274" spans="4:15" x14ac:dyDescent="0.2">
      <c r="D274" s="86">
        <v>44128</v>
      </c>
      <c r="E274" s="64">
        <f t="shared" si="29"/>
        <v>4662</v>
      </c>
      <c r="F274" s="101">
        <v>4662</v>
      </c>
      <c r="G274" s="140"/>
      <c r="H274" s="64">
        <f>E274/'Erkrankungs- und Strukturdaten'!$C$7</f>
        <v>8476.363636363636</v>
      </c>
      <c r="I274" s="64">
        <f t="shared" si="30"/>
        <v>120856</v>
      </c>
      <c r="J274" s="64">
        <f t="shared" si="26"/>
        <v>0</v>
      </c>
      <c r="K274" s="101">
        <f>IFERROR(IF(D274=_Datum,Prognoseparameter!$C$14,
IF(_WachstumsrateKURZ="Bundesweit",IF(D274&gt;_Datum,
         K273+AVERAGE(F270:F273)*(1+_WR)*(1-(K273-VLOOKUP('Erkrankungs- und Strukturdaten'!$C$45,$D:$M,$K$1,FALSE))/$B$16),
         K275-$B$23*F275),
IF(D274&gt;_Datum,K273+G274,IF(G275="",K275/(K275^(1/N274)),K275-G275)))),"")</f>
        <v>0</v>
      </c>
      <c r="L274" s="64">
        <f>I274/'Erkrankungs- und Strukturdaten'!$C$7</f>
        <v>219738.18181818179</v>
      </c>
      <c r="M274" s="65">
        <f t="shared" si="27"/>
        <v>4.0122553660257847E-2</v>
      </c>
      <c r="N274" s="163">
        <v>217</v>
      </c>
      <c r="O274" s="221">
        <f t="shared" si="28"/>
        <v>1</v>
      </c>
    </row>
    <row r="275" spans="4:15" x14ac:dyDescent="0.2">
      <c r="D275" s="86">
        <v>44129</v>
      </c>
      <c r="E275" s="64">
        <f t="shared" si="29"/>
        <v>3207</v>
      </c>
      <c r="F275" s="101">
        <v>3207</v>
      </c>
      <c r="G275" s="140"/>
      <c r="H275" s="64">
        <f>E275/'Erkrankungs- und Strukturdaten'!$C$7</f>
        <v>5830.9090909090901</v>
      </c>
      <c r="I275" s="64">
        <f t="shared" si="30"/>
        <v>124063</v>
      </c>
      <c r="J275" s="64">
        <f t="shared" si="26"/>
        <v>0</v>
      </c>
      <c r="K275" s="101">
        <f>IFERROR(IF(D275=_Datum,Prognoseparameter!$C$14,
IF(_WachstumsrateKURZ="Bundesweit",IF(D275&gt;_Datum,
         K274+AVERAGE(F271:F274)*(1+_WR)*(1-(K274-VLOOKUP('Erkrankungs- und Strukturdaten'!$C$45,$D:$M,$K$1,FALSE))/$B$16),
         K276-$B$23*F276),
IF(D275&gt;_Datum,K274+G275,IF(G276="",K276/(K276^(1/N275)),K276-G276)))),"")</f>
        <v>0</v>
      </c>
      <c r="L275" s="64">
        <f>I275/'Erkrankungs- und Strukturdaten'!$C$7</f>
        <v>225569.09090909088</v>
      </c>
      <c r="M275" s="65">
        <f t="shared" si="27"/>
        <v>2.6535711921625738E-2</v>
      </c>
      <c r="N275" s="163">
        <v>217</v>
      </c>
      <c r="O275" s="221">
        <f t="shared" si="28"/>
        <v>1</v>
      </c>
    </row>
    <row r="276" spans="4:15" x14ac:dyDescent="0.2">
      <c r="D276" s="86">
        <v>44130</v>
      </c>
      <c r="E276" s="64">
        <f t="shared" si="29"/>
        <v>10130</v>
      </c>
      <c r="F276" s="101">
        <v>10130</v>
      </c>
      <c r="G276" s="140"/>
      <c r="H276" s="64">
        <f>E276/'Erkrankungs- und Strukturdaten'!$C$7</f>
        <v>18418.181818181816</v>
      </c>
      <c r="I276" s="64">
        <f t="shared" si="30"/>
        <v>134193</v>
      </c>
      <c r="J276" s="64">
        <f t="shared" si="26"/>
        <v>0</v>
      </c>
      <c r="K276" s="101">
        <f>IFERROR(IF(D276=_Datum,Prognoseparameter!$C$14,
IF(_WachstumsrateKURZ="Bundesweit",IF(D276&gt;_Datum,
         K275+AVERAGE(F272:F275)*(1+_WR)*(1-(K275-VLOOKUP('Erkrankungs- und Strukturdaten'!$C$45,$D:$M,$K$1,FALSE))/$B$16),
         K277-$B$23*F277),
IF(D276&gt;_Datum,K275+G276,IF(G277="",K277/(K277^(1/N276)),K277-G277)))),"")</f>
        <v>0</v>
      </c>
      <c r="L276" s="64">
        <f>I276/'Erkrankungs- und Strukturdaten'!$C$7</f>
        <v>243987.27272727271</v>
      </c>
      <c r="M276" s="65">
        <f t="shared" si="27"/>
        <v>8.1652063870775338E-2</v>
      </c>
      <c r="N276" s="163">
        <v>217</v>
      </c>
      <c r="O276" s="221">
        <f t="shared" si="28"/>
        <v>1</v>
      </c>
    </row>
    <row r="277" spans="4:15" x14ac:dyDescent="0.2">
      <c r="D277" s="86">
        <v>44131</v>
      </c>
      <c r="E277" s="64">
        <f t="shared" si="29"/>
        <v>9746</v>
      </c>
      <c r="F277" s="101">
        <v>9746</v>
      </c>
      <c r="G277" s="140"/>
      <c r="H277" s="64">
        <f>E277/'Erkrankungs- und Strukturdaten'!$C$7</f>
        <v>17720</v>
      </c>
      <c r="I277" s="64">
        <f t="shared" si="30"/>
        <v>143939</v>
      </c>
      <c r="J277" s="64">
        <f t="shared" si="26"/>
        <v>0</v>
      </c>
      <c r="K277" s="101">
        <f>IFERROR(IF(D277=_Datum,Prognoseparameter!$C$14,
IF(_WachstumsrateKURZ="Bundesweit",IF(D277&gt;_Datum,
         K276+AVERAGE(F273:F276)*(1+_WR)*(1-(K276-VLOOKUP('Erkrankungs- und Strukturdaten'!$C$45,$D:$M,$K$1,FALSE))/$B$16),
         K278-$B$23*F278),
IF(D277&gt;_Datum,K276+G277,IF(G278="",K278/(K278^(1/N277)),K278-G278)))),"")</f>
        <v>0</v>
      </c>
      <c r="L277" s="64">
        <f>I277/'Erkrankungs- und Strukturdaten'!$C$7</f>
        <v>261707.27272727271</v>
      </c>
      <c r="M277" s="65">
        <f t="shared" si="27"/>
        <v>7.2626739099654974E-2</v>
      </c>
      <c r="N277" s="163">
        <v>217</v>
      </c>
      <c r="O277" s="221">
        <f t="shared" si="28"/>
        <v>1</v>
      </c>
    </row>
    <row r="278" spans="4:15" x14ac:dyDescent="0.2">
      <c r="D278" s="86">
        <v>44132</v>
      </c>
      <c r="E278" s="64">
        <f t="shared" si="29"/>
        <v>9280</v>
      </c>
      <c r="F278" s="101">
        <v>9280</v>
      </c>
      <c r="G278" s="140"/>
      <c r="H278" s="64">
        <f>E278/'Erkrankungs- und Strukturdaten'!$C$7</f>
        <v>16872.727272727272</v>
      </c>
      <c r="I278" s="64">
        <f t="shared" si="30"/>
        <v>153219</v>
      </c>
      <c r="J278" s="64">
        <f t="shared" si="26"/>
        <v>0</v>
      </c>
      <c r="K278" s="101">
        <f>IFERROR(IF(D278=_Datum,Prognoseparameter!$C$14,
IF(_WachstumsrateKURZ="Bundesweit",IF(D278&gt;_Datum,
         K277+AVERAGE(F274:F277)*(1+_WR)*(1-(K277-VLOOKUP('Erkrankungs- und Strukturdaten'!$C$45,$D:$M,$K$1,FALSE))/$B$16),
         K279-$B$23*F279),
IF(D278&gt;_Datum,K277+G278,IF(G279="",K279/(K279^(1/N278)),K279-G279)))),"")</f>
        <v>0</v>
      </c>
      <c r="L278" s="64">
        <f>I278/'Erkrankungs- und Strukturdaten'!$C$7</f>
        <v>278580</v>
      </c>
      <c r="M278" s="65">
        <f t="shared" si="27"/>
        <v>6.4471755396383196E-2</v>
      </c>
      <c r="N278" s="163">
        <v>217</v>
      </c>
      <c r="O278" s="221">
        <f t="shared" si="28"/>
        <v>1</v>
      </c>
    </row>
    <row r="279" spans="4:15" x14ac:dyDescent="0.2">
      <c r="D279" s="86">
        <v>44133</v>
      </c>
      <c r="E279" s="64">
        <f t="shared" si="29"/>
        <v>8973</v>
      </c>
      <c r="F279" s="101">
        <v>8973</v>
      </c>
      <c r="G279" s="140"/>
      <c r="H279" s="64">
        <f>E279/'Erkrankungs- und Strukturdaten'!$C$7</f>
        <v>16314.545454545454</v>
      </c>
      <c r="I279" s="64">
        <f t="shared" si="30"/>
        <v>162192</v>
      </c>
      <c r="J279" s="64">
        <f t="shared" si="26"/>
        <v>0</v>
      </c>
      <c r="K279" s="101">
        <f>IFERROR(IF(D279=_Datum,Prognoseparameter!$C$14,
IF(_WachstumsrateKURZ="Bundesweit",IF(D279&gt;_Datum,
         K278+AVERAGE(F275:F278)*(1+_WR)*(1-(K278-VLOOKUP('Erkrankungs- und Strukturdaten'!$C$45,$D:$M,$K$1,FALSE))/$B$16),
         K280-$B$23*F280),
IF(D279&gt;_Datum,K278+G279,IF(G280="",K280/(K280^(1/N279)),K280-G280)))),"")</f>
        <v>0</v>
      </c>
      <c r="L279" s="64">
        <f>I279/'Erkrankungs- und Strukturdaten'!$C$7</f>
        <v>294894.54545454541</v>
      </c>
      <c r="M279" s="65">
        <f t="shared" si="27"/>
        <v>5.8563233019403596E-2</v>
      </c>
      <c r="N279" s="163">
        <v>217</v>
      </c>
      <c r="O279" s="221">
        <f t="shared" si="28"/>
        <v>1</v>
      </c>
    </row>
    <row r="280" spans="4:15" x14ac:dyDescent="0.2">
      <c r="D280" s="86">
        <v>44134</v>
      </c>
      <c r="E280" s="64">
        <f t="shared" si="29"/>
        <v>8942</v>
      </c>
      <c r="F280" s="101">
        <v>8942</v>
      </c>
      <c r="G280" s="140"/>
      <c r="H280" s="64">
        <f>E280/'Erkrankungs- und Strukturdaten'!$C$7</f>
        <v>16258.181818181816</v>
      </c>
      <c r="I280" s="64">
        <f t="shared" si="30"/>
        <v>171134</v>
      </c>
      <c r="J280" s="64">
        <f t="shared" si="26"/>
        <v>0</v>
      </c>
      <c r="K280" s="101">
        <f>IFERROR(IF(D280=_Datum,Prognoseparameter!$C$14,
IF(_WachstumsrateKURZ="Bundesweit",IF(D280&gt;_Datum,
         K279+AVERAGE(F276:F279)*(1+_WR)*(1-(K279-VLOOKUP('Erkrankungs- und Strukturdaten'!$C$45,$D:$M,$K$1,FALSE))/$B$16),
         K281-$B$23*F281),
IF(D280&gt;_Datum,K279+G280,IF(G281="",K281/(K281^(1/N280)),K281-G281)))),"")</f>
        <v>0</v>
      </c>
      <c r="L280" s="64">
        <f>I280/'Erkrankungs- und Strukturdaten'!$C$7</f>
        <v>311152.72727272724</v>
      </c>
      <c r="M280" s="65">
        <f t="shared" si="27"/>
        <v>5.5132189010555388E-2</v>
      </c>
      <c r="N280" s="163">
        <v>217</v>
      </c>
      <c r="O280" s="221">
        <f t="shared" si="28"/>
        <v>1</v>
      </c>
    </row>
    <row r="281" spans="4:15" x14ac:dyDescent="0.2">
      <c r="D281" s="86">
        <v>44135</v>
      </c>
      <c r="E281" s="64">
        <f t="shared" si="29"/>
        <v>5128</v>
      </c>
      <c r="F281" s="101">
        <v>5128</v>
      </c>
      <c r="G281" s="140"/>
      <c r="H281" s="64">
        <f>E281/'Erkrankungs- und Strukturdaten'!$C$7</f>
        <v>9323.6363636363621</v>
      </c>
      <c r="I281" s="64">
        <f t="shared" si="30"/>
        <v>176262</v>
      </c>
      <c r="J281" s="64">
        <f t="shared" si="26"/>
        <v>0</v>
      </c>
      <c r="K281" s="101">
        <f>IFERROR(IF(D281=_Datum,Prognoseparameter!$C$14,
IF(_WachstumsrateKURZ="Bundesweit",IF(D281&gt;_Datum,
         K280+AVERAGE(F277:F280)*(1+_WR)*(1-(K280-VLOOKUP('Erkrankungs- und Strukturdaten'!$C$45,$D:$M,$K$1,FALSE))/$B$16),
         K282-$B$23*F282),
IF(D281&gt;_Datum,K280+G281,IF(G282="",K282/(K282^(1/N281)),K282-G282)))),"")</f>
        <v>0</v>
      </c>
      <c r="L281" s="64">
        <f>I281/'Erkrankungs- und Strukturdaten'!$C$7</f>
        <v>320476.36363636359</v>
      </c>
      <c r="M281" s="65">
        <f t="shared" si="27"/>
        <v>2.996482288732806E-2</v>
      </c>
      <c r="N281" s="163">
        <v>217</v>
      </c>
      <c r="O281" s="221">
        <f t="shared" si="28"/>
        <v>1</v>
      </c>
    </row>
    <row r="282" spans="4:15" x14ac:dyDescent="0.2">
      <c r="D282" s="86">
        <v>44136</v>
      </c>
      <c r="E282" s="64">
        <f t="shared" si="29"/>
        <v>3626</v>
      </c>
      <c r="F282" s="101">
        <v>3626</v>
      </c>
      <c r="G282" s="140"/>
      <c r="H282" s="64">
        <f>E282/'Erkrankungs- und Strukturdaten'!$C$7</f>
        <v>6592.7272727272721</v>
      </c>
      <c r="I282" s="64">
        <f t="shared" si="30"/>
        <v>179888</v>
      </c>
      <c r="J282" s="64">
        <f t="shared" si="26"/>
        <v>0</v>
      </c>
      <c r="K282" s="101">
        <f>IFERROR(IF(D282=_Datum,Prognoseparameter!$C$14,
IF(_WachstumsrateKURZ="Bundesweit",IF(D282&gt;_Datum,
         K281+AVERAGE(F278:F281)*(1+_WR)*(1-(K281-VLOOKUP('Erkrankungs- und Strukturdaten'!$C$45,$D:$M,$K$1,FALSE))/$B$16),
         K283-$B$23*F283),
IF(D282&gt;_Datum,K281+G282,IF(G283="",K283/(K283^(1/N282)),K283-G283)))),"")</f>
        <v>0</v>
      </c>
      <c r="L282" s="64">
        <f>I282/'Erkrankungs- und Strukturdaten'!$C$7</f>
        <v>327069.09090909088</v>
      </c>
      <c r="M282" s="65">
        <f t="shared" si="27"/>
        <v>2.0571649022477902E-2</v>
      </c>
      <c r="N282" s="163">
        <v>217</v>
      </c>
      <c r="O282" s="221">
        <f t="shared" si="28"/>
        <v>1</v>
      </c>
    </row>
    <row r="283" spans="4:15" x14ac:dyDescent="0.2">
      <c r="D283" s="86">
        <v>44137</v>
      </c>
      <c r="E283" s="64">
        <f t="shared" si="29"/>
        <v>10514</v>
      </c>
      <c r="F283" s="101">
        <v>10514</v>
      </c>
      <c r="G283" s="140"/>
      <c r="H283" s="64">
        <f>E283/'Erkrankungs- und Strukturdaten'!$C$7</f>
        <v>19116.363636363636</v>
      </c>
      <c r="I283" s="64">
        <f t="shared" si="30"/>
        <v>190402</v>
      </c>
      <c r="J283" s="64">
        <f t="shared" si="26"/>
        <v>0</v>
      </c>
      <c r="K283" s="101">
        <f>IFERROR(IF(D283=_Datum,Prognoseparameter!$C$14,
IF(_WachstumsrateKURZ="Bundesweit",IF(D283&gt;_Datum,
         K282+AVERAGE(F279:F282)*(1+_WR)*(1-(K282-VLOOKUP('Erkrankungs- und Strukturdaten'!$C$45,$D:$M,$K$1,FALSE))/$B$16),
         K284-$B$23*F284),
IF(D283&gt;_Datum,K282+G283,IF(G284="",K284/(K284^(1/N283)),K284-G284)))),"")</f>
        <v>0</v>
      </c>
      <c r="L283" s="64">
        <f>I283/'Erkrankungs- und Strukturdaten'!$C$7</f>
        <v>346185.45454545453</v>
      </c>
      <c r="M283" s="65">
        <f t="shared" si="27"/>
        <v>5.8447478431023749E-2</v>
      </c>
      <c r="N283" s="163">
        <v>217</v>
      </c>
      <c r="O283" s="221">
        <f t="shared" si="28"/>
        <v>1</v>
      </c>
    </row>
    <row r="284" spans="4:15" x14ac:dyDescent="0.2">
      <c r="D284" s="86">
        <v>44138</v>
      </c>
      <c r="E284" s="64">
        <f t="shared" si="29"/>
        <v>9596</v>
      </c>
      <c r="F284" s="101">
        <v>9596</v>
      </c>
      <c r="G284" s="140"/>
      <c r="H284" s="64">
        <f>E284/'Erkrankungs- und Strukturdaten'!$C$7</f>
        <v>17447.272727272724</v>
      </c>
      <c r="I284" s="64">
        <f t="shared" si="30"/>
        <v>199998</v>
      </c>
      <c r="J284" s="64">
        <f t="shared" si="26"/>
        <v>0</v>
      </c>
      <c r="K284" s="101">
        <f>IFERROR(IF(D284=_Datum,Prognoseparameter!$C$14,
IF(_WachstumsrateKURZ="Bundesweit",IF(D284&gt;_Datum,
         K283+AVERAGE(F280:F283)*(1+_WR)*(1-(K283-VLOOKUP('Erkrankungs- und Strukturdaten'!$C$45,$D:$M,$K$1,FALSE))/$B$16),
         K285-$B$23*F285),
IF(D284&gt;_Datum,K283+G284,IF(G285="",K285/(K285^(1/N284)),K285-G285)))),"")</f>
        <v>0</v>
      </c>
      <c r="L284" s="64">
        <f>I284/'Erkrankungs- und Strukturdaten'!$C$7</f>
        <v>363632.72727272724</v>
      </c>
      <c r="M284" s="65">
        <f t="shared" si="27"/>
        <v>5.0398630266488796E-2</v>
      </c>
      <c r="N284" s="163">
        <v>217</v>
      </c>
      <c r="O284" s="221">
        <f t="shared" si="28"/>
        <v>1</v>
      </c>
    </row>
    <row r="285" spans="4:15" x14ac:dyDescent="0.2">
      <c r="D285" s="86">
        <v>44139</v>
      </c>
      <c r="E285" s="64">
        <f t="shared" si="29"/>
        <v>8707</v>
      </c>
      <c r="F285" s="101">
        <v>8707</v>
      </c>
      <c r="G285" s="140"/>
      <c r="H285" s="64">
        <f>E285/'Erkrankungs- und Strukturdaten'!$C$7</f>
        <v>15830.90909090909</v>
      </c>
      <c r="I285" s="64">
        <f t="shared" si="30"/>
        <v>208705</v>
      </c>
      <c r="J285" s="64">
        <f t="shared" ref="J285:J329" si="31">J284+G285</f>
        <v>0</v>
      </c>
      <c r="K285" s="101">
        <f>IFERROR(IF(D285=_Datum,Prognoseparameter!$C$14,
IF(_WachstumsrateKURZ="Bundesweit",IF(D285&gt;_Datum,
         K284+AVERAGE(F281:F284)*(1+_WR)*(1-(K284-VLOOKUP('Erkrankungs- und Strukturdaten'!$C$45,$D:$M,$K$1,FALSE))/$B$16),
         K286-$B$23*F286),
IF(D285&gt;_Datum,K284+G285,IF(G286="",K286/(K286^(1/N285)),K286-G286)))),"")</f>
        <v>0</v>
      </c>
      <c r="L285" s="64">
        <f>I285/'Erkrankungs- und Strukturdaten'!$C$7</f>
        <v>379463.63636363635</v>
      </c>
      <c r="M285" s="65">
        <f t="shared" ref="M285:M329" si="32">IFERROR((I285-I284)/I284,0)</f>
        <v>4.3535435354353544E-2</v>
      </c>
      <c r="N285" s="163">
        <v>217</v>
      </c>
      <c r="O285" s="221">
        <f t="shared" ref="O285:O329" si="33">IF(F285=ROUNDDOWN(F285,0),1,0)</f>
        <v>1</v>
      </c>
    </row>
    <row r="286" spans="4:15" x14ac:dyDescent="0.2">
      <c r="D286" s="86">
        <v>44140</v>
      </c>
      <c r="E286" s="64">
        <f t="shared" si="29"/>
        <v>7828</v>
      </c>
      <c r="F286" s="101">
        <v>7828</v>
      </c>
      <c r="G286" s="140"/>
      <c r="H286" s="64">
        <f>E286/'Erkrankungs- und Strukturdaten'!$C$7</f>
        <v>14232.727272727272</v>
      </c>
      <c r="I286" s="64">
        <f t="shared" si="30"/>
        <v>216533</v>
      </c>
      <c r="J286" s="64">
        <f t="shared" si="31"/>
        <v>0</v>
      </c>
      <c r="K286" s="101">
        <f>IFERROR(IF(D286=_Datum,Prognoseparameter!$C$14,
IF(_WachstumsrateKURZ="Bundesweit",IF(D286&gt;_Datum,
         K285+AVERAGE(F282:F285)*(1+_WR)*(1-(K285-VLOOKUP('Erkrankungs- und Strukturdaten'!$C$45,$D:$M,$K$1,FALSE))/$B$16),
         K287-$B$23*F287),
IF(D286&gt;_Datum,K285+G286,IF(G287="",K287/(K287^(1/N286)),K287-G287)))),"")</f>
        <v>0</v>
      </c>
      <c r="L286" s="64">
        <f>I286/'Erkrankungs- und Strukturdaten'!$C$7</f>
        <v>393696.36363636359</v>
      </c>
      <c r="M286" s="65">
        <f t="shared" si="32"/>
        <v>3.7507486643827415E-2</v>
      </c>
      <c r="N286" s="163">
        <v>217</v>
      </c>
      <c r="O286" s="221">
        <f t="shared" si="33"/>
        <v>1</v>
      </c>
    </row>
    <row r="287" spans="4:15" x14ac:dyDescent="0.2">
      <c r="D287" s="86">
        <v>44141</v>
      </c>
      <c r="E287" s="64">
        <f t="shared" si="29"/>
        <v>7377</v>
      </c>
      <c r="F287" s="101">
        <v>7377</v>
      </c>
      <c r="G287" s="140"/>
      <c r="H287" s="64">
        <f>E287/'Erkrankungs- und Strukturdaten'!$C$7</f>
        <v>13412.727272727272</v>
      </c>
      <c r="I287" s="64">
        <f t="shared" si="30"/>
        <v>223910</v>
      </c>
      <c r="J287" s="64">
        <f t="shared" si="31"/>
        <v>0</v>
      </c>
      <c r="K287" s="101">
        <f>IFERROR(IF(D287=_Datum,Prognoseparameter!$C$14,
IF(_WachstumsrateKURZ="Bundesweit",IF(D287&gt;_Datum,
         K286+AVERAGE(F283:F286)*(1+_WR)*(1-(K286-VLOOKUP('Erkrankungs- und Strukturdaten'!$C$45,$D:$M,$K$1,FALSE))/$B$16),
         K288-$B$23*F288),
IF(D287&gt;_Datum,K286+G287,IF(G288="",K288/(K288^(1/N287)),K288-G288)))),"")</f>
        <v>0</v>
      </c>
      <c r="L287" s="64">
        <f>I287/'Erkrankungs- und Strukturdaten'!$C$7</f>
        <v>407109.09090909088</v>
      </c>
      <c r="M287" s="65">
        <f t="shared" si="32"/>
        <v>3.4068710081142366E-2</v>
      </c>
      <c r="N287" s="163">
        <v>217</v>
      </c>
      <c r="O287" s="221">
        <f t="shared" si="33"/>
        <v>1</v>
      </c>
    </row>
    <row r="288" spans="4:15" x14ac:dyDescent="0.2">
      <c r="D288" s="86">
        <v>44142</v>
      </c>
      <c r="E288" s="64">
        <f t="shared" si="29"/>
        <v>4189</v>
      </c>
      <c r="F288" s="101">
        <v>4189</v>
      </c>
      <c r="G288" s="140"/>
      <c r="H288" s="64">
        <f>E288/'Erkrankungs- und Strukturdaten'!$C$7</f>
        <v>7616.363636363636</v>
      </c>
      <c r="I288" s="64">
        <f t="shared" si="30"/>
        <v>228099</v>
      </c>
      <c r="J288" s="64">
        <f t="shared" si="31"/>
        <v>0</v>
      </c>
      <c r="K288" s="101">
        <f>IFERROR(IF(D288=_Datum,Prognoseparameter!$C$14,
IF(_WachstumsrateKURZ="Bundesweit",IF(D288&gt;_Datum,
         K287+AVERAGE(F284:F287)*(1+_WR)*(1-(K287-VLOOKUP('Erkrankungs- und Strukturdaten'!$C$45,$D:$M,$K$1,FALSE))/$B$16),
         K289-$B$23*F289),
IF(D288&gt;_Datum,K287+G288,IF(G289="",K289/(K289^(1/N288)),K289-G289)))),"")</f>
        <v>0</v>
      </c>
      <c r="L288" s="64">
        <f>I288/'Erkrankungs- und Strukturdaten'!$C$7</f>
        <v>414725.45454545453</v>
      </c>
      <c r="M288" s="65">
        <f t="shared" si="32"/>
        <v>1.8708409628868741E-2</v>
      </c>
      <c r="N288" s="163">
        <v>217</v>
      </c>
      <c r="O288" s="221">
        <f t="shared" si="33"/>
        <v>1</v>
      </c>
    </row>
    <row r="289" spans="4:15" x14ac:dyDescent="0.2">
      <c r="D289" s="86">
        <v>44143</v>
      </c>
      <c r="E289" s="64">
        <f t="shared" si="29"/>
        <v>2979</v>
      </c>
      <c r="F289" s="101">
        <v>2979</v>
      </c>
      <c r="G289" s="140"/>
      <c r="H289" s="64">
        <f>E289/'Erkrankungs- und Strukturdaten'!$C$7</f>
        <v>5416.363636363636</v>
      </c>
      <c r="I289" s="64">
        <f t="shared" si="30"/>
        <v>231078</v>
      </c>
      <c r="J289" s="64">
        <f t="shared" si="31"/>
        <v>0</v>
      </c>
      <c r="K289" s="101">
        <f>IFERROR(IF(D289=_Datum,Prognoseparameter!$C$14,
IF(_WachstumsrateKURZ="Bundesweit",IF(D289&gt;_Datum,
         K288+AVERAGE(F285:F288)*(1+_WR)*(1-(K288-VLOOKUP('Erkrankungs- und Strukturdaten'!$C$45,$D:$M,$K$1,FALSE))/$B$16),
         K290-$B$23*F290),
IF(D289&gt;_Datum,K288+G289,IF(G290="",K290/(K290^(1/N289)),K290-G290)))),"")</f>
        <v>0</v>
      </c>
      <c r="L289" s="64">
        <f>I289/'Erkrankungs- und Strukturdaten'!$C$7</f>
        <v>420141.81818181818</v>
      </c>
      <c r="M289" s="65">
        <f t="shared" si="32"/>
        <v>1.306011863269896E-2</v>
      </c>
      <c r="N289" s="163">
        <v>217</v>
      </c>
      <c r="O289" s="221">
        <f t="shared" si="33"/>
        <v>1</v>
      </c>
    </row>
    <row r="290" spans="4:15" x14ac:dyDescent="0.2">
      <c r="D290" s="86">
        <v>44144</v>
      </c>
      <c r="E290" s="64">
        <f t="shared" si="29"/>
        <v>8683</v>
      </c>
      <c r="F290" s="101">
        <v>8683</v>
      </c>
      <c r="G290" s="140"/>
      <c r="H290" s="64">
        <f>E290/'Erkrankungs- und Strukturdaten'!$C$7</f>
        <v>15787.272727272726</v>
      </c>
      <c r="I290" s="64">
        <f t="shared" si="30"/>
        <v>239761</v>
      </c>
      <c r="J290" s="64">
        <f t="shared" si="31"/>
        <v>0</v>
      </c>
      <c r="K290" s="101">
        <f>IFERROR(IF(D290=_Datum,Prognoseparameter!$C$14,
IF(_WachstumsrateKURZ="Bundesweit",IF(D290&gt;_Datum,
         K289+AVERAGE(F286:F289)*(1+_WR)*(1-(K289-VLOOKUP('Erkrankungs- und Strukturdaten'!$C$45,$D:$M,$K$1,FALSE))/$B$16),
         K291-$B$23*F291),
IF(D290&gt;_Datum,K289+G290,IF(G291="",K291/(K291^(1/N290)),K291-G291)))),"")</f>
        <v>0</v>
      </c>
      <c r="L290" s="64">
        <f>I290/'Erkrankungs- und Strukturdaten'!$C$7</f>
        <v>435929.09090909088</v>
      </c>
      <c r="M290" s="65">
        <f t="shared" si="32"/>
        <v>3.7576056569643149E-2</v>
      </c>
      <c r="N290" s="163">
        <v>217</v>
      </c>
      <c r="O290" s="221">
        <f t="shared" si="33"/>
        <v>1</v>
      </c>
    </row>
    <row r="291" spans="4:15" x14ac:dyDescent="0.2">
      <c r="D291" s="86">
        <v>44145</v>
      </c>
      <c r="E291" s="64">
        <f t="shared" si="29"/>
        <v>7387</v>
      </c>
      <c r="F291" s="101">
        <v>7387</v>
      </c>
      <c r="G291" s="140"/>
      <c r="H291" s="64">
        <f>E291/'Erkrankungs- und Strukturdaten'!$C$7</f>
        <v>13430.90909090909</v>
      </c>
      <c r="I291" s="64">
        <f t="shared" si="30"/>
        <v>247148</v>
      </c>
      <c r="J291" s="64">
        <f t="shared" si="31"/>
        <v>0</v>
      </c>
      <c r="K291" s="101">
        <f>IFERROR(IF(D291=_Datum,Prognoseparameter!$C$14,
IF(_WachstumsrateKURZ="Bundesweit",IF(D291&gt;_Datum,
         K290+AVERAGE(F287:F290)*(1+_WR)*(1-(K290-VLOOKUP('Erkrankungs- und Strukturdaten'!$C$45,$D:$M,$K$1,FALSE))/$B$16),
         K292-$B$23*F292),
IF(D291&gt;_Datum,K290+G291,IF(G292="",K292/(K292^(1/N291)),K292-G292)))),"")</f>
        <v>0</v>
      </c>
      <c r="L291" s="64">
        <f>I291/'Erkrankungs- und Strukturdaten'!$C$7</f>
        <v>449359.99999999994</v>
      </c>
      <c r="M291" s="65">
        <f t="shared" si="32"/>
        <v>3.0809848140439855E-2</v>
      </c>
      <c r="N291" s="163">
        <v>217</v>
      </c>
      <c r="O291" s="221">
        <f t="shared" si="33"/>
        <v>1</v>
      </c>
    </row>
    <row r="292" spans="4:15" x14ac:dyDescent="0.2">
      <c r="D292" s="86">
        <v>44146</v>
      </c>
      <c r="E292" s="64">
        <f t="shared" si="29"/>
        <v>6355</v>
      </c>
      <c r="F292" s="101">
        <v>6355</v>
      </c>
      <c r="G292" s="140"/>
      <c r="H292" s="64">
        <f>E292/'Erkrankungs- und Strukturdaten'!$C$7</f>
        <v>11554.545454545454</v>
      </c>
      <c r="I292" s="64">
        <f t="shared" si="30"/>
        <v>253503</v>
      </c>
      <c r="J292" s="64">
        <f t="shared" si="31"/>
        <v>0</v>
      </c>
      <c r="K292" s="101">
        <f>IFERROR(IF(D292=_Datum,Prognoseparameter!$C$14,
IF(_WachstumsrateKURZ="Bundesweit",IF(D292&gt;_Datum,
         K291+AVERAGE(F288:F291)*(1+_WR)*(1-(K291-VLOOKUP('Erkrankungs- und Strukturdaten'!$C$45,$D:$M,$K$1,FALSE))/$B$16),
         K293-$B$23*F293),
IF(D292&gt;_Datum,K291+G292,IF(G293="",K293/(K293^(1/N292)),K293-G293)))),"")</f>
        <v>0</v>
      </c>
      <c r="L292" s="64">
        <f>I292/'Erkrankungs- und Strukturdaten'!$C$7</f>
        <v>460914.54545454541</v>
      </c>
      <c r="M292" s="65">
        <f t="shared" si="32"/>
        <v>2.5713337757133376E-2</v>
      </c>
      <c r="N292" s="163">
        <v>217</v>
      </c>
      <c r="O292" s="221">
        <f t="shared" si="33"/>
        <v>1</v>
      </c>
    </row>
    <row r="293" spans="4:15" x14ac:dyDescent="0.2">
      <c r="D293" s="86">
        <v>44147</v>
      </c>
      <c r="E293" s="64">
        <f t="shared" si="29"/>
        <v>5962</v>
      </c>
      <c r="F293" s="101">
        <v>5962</v>
      </c>
      <c r="G293" s="140"/>
      <c r="H293" s="64">
        <f>E293/'Erkrankungs- und Strukturdaten'!$C$7</f>
        <v>10840</v>
      </c>
      <c r="I293" s="64">
        <f t="shared" si="30"/>
        <v>259465</v>
      </c>
      <c r="J293" s="64">
        <f t="shared" si="31"/>
        <v>0</v>
      </c>
      <c r="K293" s="101">
        <f>IFERROR(IF(D293=_Datum,Prognoseparameter!$C$14,
IF(_WachstumsrateKURZ="Bundesweit",IF(D293&gt;_Datum,
         K292+AVERAGE(F289:F292)*(1+_WR)*(1-(K292-VLOOKUP('Erkrankungs- und Strukturdaten'!$C$45,$D:$M,$K$1,FALSE))/$B$16),
         K294-$B$23*F294),
IF(D293&gt;_Datum,K292+G293,IF(G294="",K294/(K294^(1/N293)),K294-G294)))),"")</f>
        <v>0</v>
      </c>
      <c r="L293" s="64">
        <f>I293/'Erkrankungs- und Strukturdaten'!$C$7</f>
        <v>471754.54545454541</v>
      </c>
      <c r="M293" s="65">
        <f t="shared" si="32"/>
        <v>2.3518459347621132E-2</v>
      </c>
      <c r="N293" s="163">
        <v>217</v>
      </c>
      <c r="O293" s="221">
        <f t="shared" si="33"/>
        <v>1</v>
      </c>
    </row>
    <row r="294" spans="4:15" x14ac:dyDescent="0.2">
      <c r="D294" s="86">
        <v>44148</v>
      </c>
      <c r="E294" s="64">
        <f t="shared" si="29"/>
        <v>5679</v>
      </c>
      <c r="F294" s="101">
        <v>5679</v>
      </c>
      <c r="G294" s="140"/>
      <c r="H294" s="64">
        <f>E294/'Erkrankungs- und Strukturdaten'!$C$7</f>
        <v>10325.454545454544</v>
      </c>
      <c r="I294" s="64">
        <f t="shared" si="30"/>
        <v>265144</v>
      </c>
      <c r="J294" s="64">
        <f t="shared" si="31"/>
        <v>0</v>
      </c>
      <c r="K294" s="101">
        <f>IFERROR(IF(D294=_Datum,Prognoseparameter!$C$14,
IF(_WachstumsrateKURZ="Bundesweit",IF(D294&gt;_Datum,
         K293+AVERAGE(F290:F293)*(1+_WR)*(1-(K293-VLOOKUP('Erkrankungs- und Strukturdaten'!$C$45,$D:$M,$K$1,FALSE))/$B$16),
         K295-$B$23*F295),
IF(D294&gt;_Datum,K293+G294,IF(G295="",K295/(K295^(1/N294)),K295-G295)))),"")</f>
        <v>0</v>
      </c>
      <c r="L294" s="64">
        <f>I294/'Erkrankungs- und Strukturdaten'!$C$7</f>
        <v>482079.99999999994</v>
      </c>
      <c r="M294" s="65">
        <f t="shared" si="32"/>
        <v>2.1887345113984547E-2</v>
      </c>
      <c r="N294" s="163">
        <v>217</v>
      </c>
      <c r="O294" s="221">
        <f t="shared" si="33"/>
        <v>1</v>
      </c>
    </row>
    <row r="295" spans="4:15" x14ac:dyDescent="0.2">
      <c r="D295" s="86">
        <v>44149</v>
      </c>
      <c r="E295" s="64">
        <f t="shared" si="29"/>
        <v>3204</v>
      </c>
      <c r="F295" s="101">
        <v>3204</v>
      </c>
      <c r="G295" s="140"/>
      <c r="H295" s="64">
        <f>E295/'Erkrankungs- und Strukturdaten'!$C$7</f>
        <v>5825.454545454545</v>
      </c>
      <c r="I295" s="64">
        <f t="shared" si="30"/>
        <v>268348</v>
      </c>
      <c r="J295" s="64">
        <f t="shared" si="31"/>
        <v>0</v>
      </c>
      <c r="K295" s="101">
        <f>IFERROR(IF(D295=_Datum,Prognoseparameter!$C$14,
IF(_WachstumsrateKURZ="Bundesweit",IF(D295&gt;_Datum,
         K294+AVERAGE(F291:F294)*(1+_WR)*(1-(K294-VLOOKUP('Erkrankungs- und Strukturdaten'!$C$45,$D:$M,$K$1,FALSE))/$B$16),
         K296-$B$23*F296),
IF(D295&gt;_Datum,K294+G295,IF(G296="",K296/(K296^(1/N295)),K296-G296)))),"")</f>
        <v>0</v>
      </c>
      <c r="L295" s="64">
        <f>I295/'Erkrankungs- und Strukturdaten'!$C$7</f>
        <v>487905.45454545453</v>
      </c>
      <c r="M295" s="65">
        <f t="shared" si="32"/>
        <v>1.2083999637932595E-2</v>
      </c>
      <c r="N295" s="163">
        <v>217</v>
      </c>
      <c r="O295" s="221">
        <f t="shared" si="33"/>
        <v>1</v>
      </c>
    </row>
    <row r="296" spans="4:15" x14ac:dyDescent="0.2">
      <c r="D296" s="86">
        <v>44150</v>
      </c>
      <c r="E296" s="64">
        <f t="shared" si="29"/>
        <v>2315</v>
      </c>
      <c r="F296" s="101">
        <v>2315</v>
      </c>
      <c r="G296" s="140"/>
      <c r="H296" s="64">
        <f>E296/'Erkrankungs- und Strukturdaten'!$C$7</f>
        <v>4209.090909090909</v>
      </c>
      <c r="I296" s="64">
        <f t="shared" si="30"/>
        <v>270663</v>
      </c>
      <c r="J296" s="64">
        <f t="shared" si="31"/>
        <v>0</v>
      </c>
      <c r="K296" s="101">
        <f>IFERROR(IF(D296=_Datum,Prognoseparameter!$C$14,
IF(_WachstumsrateKURZ="Bundesweit",IF(D296&gt;_Datum,
         K295+AVERAGE(F292:F295)*(1+_WR)*(1-(K295-VLOOKUP('Erkrankungs- und Strukturdaten'!$C$45,$D:$M,$K$1,FALSE))/$B$16),
         K297-$B$23*F297),
IF(D296&gt;_Datum,K295+G296,IF(G297="",K297/(K297^(1/N296)),K297-G297)))),"")</f>
        <v>0</v>
      </c>
      <c r="L296" s="64">
        <f>I296/'Erkrankungs- und Strukturdaten'!$C$7</f>
        <v>492114.54545454541</v>
      </c>
      <c r="M296" s="65">
        <f t="shared" si="32"/>
        <v>8.6268576624383263E-3</v>
      </c>
      <c r="N296" s="163">
        <v>217</v>
      </c>
      <c r="O296" s="221">
        <f t="shared" si="33"/>
        <v>1</v>
      </c>
    </row>
    <row r="297" spans="4:15" x14ac:dyDescent="0.2">
      <c r="D297" s="86">
        <v>44151</v>
      </c>
      <c r="E297" s="64">
        <f t="shared" si="29"/>
        <v>6583</v>
      </c>
      <c r="F297" s="101">
        <v>6583</v>
      </c>
      <c r="G297" s="140"/>
      <c r="H297" s="64">
        <f>E297/'Erkrankungs- und Strukturdaten'!$C$7</f>
        <v>11969.090909090908</v>
      </c>
      <c r="I297" s="64">
        <f t="shared" si="30"/>
        <v>277246</v>
      </c>
      <c r="J297" s="64">
        <f t="shared" si="31"/>
        <v>0</v>
      </c>
      <c r="K297" s="101">
        <f>IFERROR(IF(D297=_Datum,Prognoseparameter!$C$14,
IF(_WachstumsrateKURZ="Bundesweit",IF(D297&gt;_Datum,
         K296+AVERAGE(F293:F296)*(1+_WR)*(1-(K296-VLOOKUP('Erkrankungs- und Strukturdaten'!$C$45,$D:$M,$K$1,FALSE))/$B$16),
         K298-$B$23*F298),
IF(D297&gt;_Datum,K296+G297,IF(G298="",K298/(K298^(1/N297)),K298-G298)))),"")</f>
        <v>0</v>
      </c>
      <c r="L297" s="64">
        <f>I297/'Erkrankungs- und Strukturdaten'!$C$7</f>
        <v>504083.63636363629</v>
      </c>
      <c r="M297" s="65">
        <f t="shared" si="32"/>
        <v>2.4321758053372645E-2</v>
      </c>
      <c r="N297" s="163">
        <v>217</v>
      </c>
      <c r="O297" s="221">
        <f t="shared" si="33"/>
        <v>1</v>
      </c>
    </row>
    <row r="298" spans="4:15" x14ac:dyDescent="0.2">
      <c r="D298" s="86">
        <v>44152</v>
      </c>
      <c r="E298" s="64">
        <f t="shared" si="29"/>
        <v>5417</v>
      </c>
      <c r="F298" s="101">
        <v>5417</v>
      </c>
      <c r="G298" s="140"/>
      <c r="H298" s="64">
        <f>E298/'Erkrankungs- und Strukturdaten'!$C$7</f>
        <v>9849.0909090909081</v>
      </c>
      <c r="I298" s="64">
        <f t="shared" si="30"/>
        <v>282663</v>
      </c>
      <c r="J298" s="64">
        <f t="shared" si="31"/>
        <v>0</v>
      </c>
      <c r="K298" s="101">
        <f>IFERROR(IF(D298=_Datum,Prognoseparameter!$C$14,
IF(_WachstumsrateKURZ="Bundesweit",IF(D298&gt;_Datum,
         K297+AVERAGE(F294:F297)*(1+_WR)*(1-(K297-VLOOKUP('Erkrankungs- und Strukturdaten'!$C$45,$D:$M,$K$1,FALSE))/$B$16),
         K299-$B$23*F299),
IF(D298&gt;_Datum,K297+G298,IF(G299="",K299/(K299^(1/N298)),K299-G299)))),"")</f>
        <v>0</v>
      </c>
      <c r="L298" s="64">
        <f>I298/'Erkrankungs- und Strukturdaten'!$C$7</f>
        <v>513932.72727272724</v>
      </c>
      <c r="M298" s="65">
        <f t="shared" si="32"/>
        <v>1.953860470484696E-2</v>
      </c>
      <c r="N298" s="163">
        <v>217</v>
      </c>
      <c r="O298" s="221">
        <f t="shared" si="33"/>
        <v>1</v>
      </c>
    </row>
    <row r="299" spans="4:15" x14ac:dyDescent="0.2">
      <c r="D299" s="86">
        <v>44153</v>
      </c>
      <c r="E299" s="64">
        <f t="shared" si="29"/>
        <v>4858</v>
      </c>
      <c r="F299" s="101">
        <v>4858</v>
      </c>
      <c r="G299" s="140"/>
      <c r="H299" s="64">
        <f>E299/'Erkrankungs- und Strukturdaten'!$C$7</f>
        <v>8832.7272727272721</v>
      </c>
      <c r="I299" s="64">
        <f t="shared" si="30"/>
        <v>287521</v>
      </c>
      <c r="J299" s="64">
        <f t="shared" si="31"/>
        <v>0</v>
      </c>
      <c r="K299" s="101">
        <f>IFERROR(IF(D299=_Datum,Prognoseparameter!$C$14,
IF(_WachstumsrateKURZ="Bundesweit",IF(D299&gt;_Datum,
         K298+AVERAGE(F295:F298)*(1+_WR)*(1-(K298-VLOOKUP('Erkrankungs- und Strukturdaten'!$C$45,$D:$M,$K$1,FALSE))/$B$16),
         K300-$B$23*F300),
IF(D299&gt;_Datum,K298+G299,IF(G300="",K300/(K300^(1/N299)),K300-G300)))),"")</f>
        <v>0</v>
      </c>
      <c r="L299" s="64">
        <f>I299/'Erkrankungs- und Strukturdaten'!$C$7</f>
        <v>522765.45454545453</v>
      </c>
      <c r="M299" s="65">
        <f t="shared" si="32"/>
        <v>1.7186543693373382E-2</v>
      </c>
      <c r="N299" s="163">
        <v>217</v>
      </c>
      <c r="O299" s="221">
        <f t="shared" si="33"/>
        <v>1</v>
      </c>
    </row>
    <row r="300" spans="4:15" x14ac:dyDescent="0.2">
      <c r="D300" s="86">
        <v>44154</v>
      </c>
      <c r="E300" s="64">
        <f t="shared" si="29"/>
        <v>4493</v>
      </c>
      <c r="F300" s="101">
        <v>4493</v>
      </c>
      <c r="G300" s="140"/>
      <c r="H300" s="64">
        <f>E300/'Erkrankungs- und Strukturdaten'!$C$7</f>
        <v>8169.0909090909081</v>
      </c>
      <c r="I300" s="64">
        <f t="shared" si="30"/>
        <v>292014</v>
      </c>
      <c r="J300" s="64">
        <f t="shared" si="31"/>
        <v>0</v>
      </c>
      <c r="K300" s="101">
        <f>IFERROR(IF(D300=_Datum,Prognoseparameter!$C$14,
IF(_WachstumsrateKURZ="Bundesweit",IF(D300&gt;_Datum,
         K299+AVERAGE(F296:F299)*(1+_WR)*(1-(K299-VLOOKUP('Erkrankungs- und Strukturdaten'!$C$45,$D:$M,$K$1,FALSE))/$B$16),
         K301-$B$23*F301),
IF(D300&gt;_Datum,K299+G300,IF(G301="",K301/(K301^(1/N300)),K301-G301)))),"")</f>
        <v>0</v>
      </c>
      <c r="L300" s="64">
        <f>I300/'Erkrankungs- und Strukturdaten'!$C$7</f>
        <v>530934.54545454541</v>
      </c>
      <c r="M300" s="65">
        <f t="shared" si="32"/>
        <v>1.5626684659555301E-2</v>
      </c>
      <c r="N300" s="163">
        <v>217</v>
      </c>
      <c r="O300" s="221">
        <f t="shared" si="33"/>
        <v>1</v>
      </c>
    </row>
    <row r="301" spans="4:15" x14ac:dyDescent="0.2">
      <c r="D301" s="86">
        <v>44155</v>
      </c>
      <c r="E301" s="64">
        <f t="shared" si="29"/>
        <v>4324</v>
      </c>
      <c r="F301" s="101">
        <v>4324</v>
      </c>
      <c r="G301" s="140"/>
      <c r="H301" s="64">
        <f>E301/'Erkrankungs- und Strukturdaten'!$C$7</f>
        <v>7861.8181818181811</v>
      </c>
      <c r="I301" s="64">
        <f t="shared" si="30"/>
        <v>296338</v>
      </c>
      <c r="J301" s="64">
        <f t="shared" si="31"/>
        <v>0</v>
      </c>
      <c r="K301" s="101">
        <f>IFERROR(IF(D301=_Datum,Prognoseparameter!$C$14,
IF(_WachstumsrateKURZ="Bundesweit",IF(D301&gt;_Datum,
         K300+AVERAGE(F297:F300)*(1+_WR)*(1-(K300-VLOOKUP('Erkrankungs- und Strukturdaten'!$C$45,$D:$M,$K$1,FALSE))/$B$16),
         K302-$B$23*F302),
IF(D301&gt;_Datum,K300+G301,IF(G302="",K302/(K302^(1/N301)),K302-G302)))),"")</f>
        <v>0</v>
      </c>
      <c r="L301" s="64">
        <f>I301/'Erkrankungs- und Strukturdaten'!$C$7</f>
        <v>538796.36363636365</v>
      </c>
      <c r="M301" s="65">
        <f t="shared" si="32"/>
        <v>1.4807509229009568E-2</v>
      </c>
      <c r="N301" s="163">
        <v>217</v>
      </c>
      <c r="O301" s="221">
        <f t="shared" si="33"/>
        <v>1</v>
      </c>
    </row>
    <row r="302" spans="4:15" x14ac:dyDescent="0.2">
      <c r="D302" s="86">
        <v>44156</v>
      </c>
      <c r="E302" s="64">
        <f t="shared" si="29"/>
        <v>2571</v>
      </c>
      <c r="F302" s="101">
        <v>2571</v>
      </c>
      <c r="G302" s="140"/>
      <c r="H302" s="64">
        <f>E302/'Erkrankungs- und Strukturdaten'!$C$7</f>
        <v>4674.545454545454</v>
      </c>
      <c r="I302" s="64">
        <f t="shared" si="30"/>
        <v>298909</v>
      </c>
      <c r="J302" s="64">
        <f t="shared" si="31"/>
        <v>0</v>
      </c>
      <c r="K302" s="101">
        <f>IFERROR(IF(D302=_Datum,Prognoseparameter!$C$14,
IF(_WachstumsrateKURZ="Bundesweit",IF(D302&gt;_Datum,
         K301+AVERAGE(F298:F301)*(1+_WR)*(1-(K301-VLOOKUP('Erkrankungs- und Strukturdaten'!$C$45,$D:$M,$K$1,FALSE))/$B$16),
         K303-$B$23*F303),
IF(D302&gt;_Datum,K301+G302,IF(G303="",K303/(K303^(1/N302)),K303-G303)))),"")</f>
        <v>0</v>
      </c>
      <c r="L302" s="64">
        <f>I302/'Erkrankungs- und Strukturdaten'!$C$7</f>
        <v>543470.90909090906</v>
      </c>
      <c r="M302" s="65">
        <f t="shared" si="32"/>
        <v>8.6759038665307851E-3</v>
      </c>
      <c r="N302" s="163">
        <v>217</v>
      </c>
      <c r="O302" s="221">
        <f t="shared" si="33"/>
        <v>1</v>
      </c>
    </row>
    <row r="303" spans="4:15" x14ac:dyDescent="0.2">
      <c r="D303" s="86">
        <v>44157</v>
      </c>
      <c r="E303" s="64">
        <f t="shared" si="29"/>
        <v>1871</v>
      </c>
      <c r="F303" s="101">
        <v>1871</v>
      </c>
      <c r="G303" s="140"/>
      <c r="H303" s="64">
        <f>E303/'Erkrankungs- und Strukturdaten'!$C$7</f>
        <v>3401.8181818181815</v>
      </c>
      <c r="I303" s="64">
        <f t="shared" si="30"/>
        <v>300780</v>
      </c>
      <c r="J303" s="64">
        <f t="shared" si="31"/>
        <v>0</v>
      </c>
      <c r="K303" s="101">
        <f>IFERROR(IF(D303=_Datum,Prognoseparameter!$C$14,
IF(_WachstumsrateKURZ="Bundesweit",IF(D303&gt;_Datum,
         K302+AVERAGE(F299:F302)*(1+_WR)*(1-(K302-VLOOKUP('Erkrankungs- und Strukturdaten'!$C$45,$D:$M,$K$1,FALSE))/$B$16),
         K304-$B$23*F304),
IF(D303&gt;_Datum,K302+G303,IF(G304="",K304/(K304^(1/N303)),K304-G304)))),"")</f>
        <v>0</v>
      </c>
      <c r="L303" s="64">
        <f>I303/'Erkrankungs- und Strukturdaten'!$C$7</f>
        <v>546872.72727272718</v>
      </c>
      <c r="M303" s="65">
        <f t="shared" si="32"/>
        <v>6.2594301275639072E-3</v>
      </c>
      <c r="N303" s="163">
        <v>217</v>
      </c>
      <c r="O303" s="221">
        <f t="shared" si="33"/>
        <v>1</v>
      </c>
    </row>
    <row r="304" spans="4:15" x14ac:dyDescent="0.2">
      <c r="D304" s="86">
        <v>44158</v>
      </c>
      <c r="E304" s="64">
        <f t="shared" si="29"/>
        <v>5434</v>
      </c>
      <c r="F304" s="101">
        <v>5434</v>
      </c>
      <c r="G304" s="140"/>
      <c r="H304" s="64">
        <f>E304/'Erkrankungs- und Strukturdaten'!$C$7</f>
        <v>9880</v>
      </c>
      <c r="I304" s="64">
        <f t="shared" si="30"/>
        <v>306214</v>
      </c>
      <c r="J304" s="64">
        <f t="shared" si="31"/>
        <v>0</v>
      </c>
      <c r="K304" s="101">
        <f>IFERROR(IF(D304=_Datum,Prognoseparameter!$C$14,
IF(_WachstumsrateKURZ="Bundesweit",IF(D304&gt;_Datum,
         K303+AVERAGE(F300:F303)*(1+_WR)*(1-(K303-VLOOKUP('Erkrankungs- und Strukturdaten'!$C$45,$D:$M,$K$1,FALSE))/$B$16),
         K305-$B$23*F305),
IF(D304&gt;_Datum,K303+G304,IF(G305="",K305/(K305^(1/N304)),K305-G305)))),"")</f>
        <v>0</v>
      </c>
      <c r="L304" s="64">
        <f>I304/'Erkrankungs- und Strukturdaten'!$C$7</f>
        <v>556752.72727272718</v>
      </c>
      <c r="M304" s="65">
        <f t="shared" si="32"/>
        <v>1.8066360795265642E-2</v>
      </c>
      <c r="N304" s="163">
        <v>217</v>
      </c>
      <c r="O304" s="221">
        <f t="shared" si="33"/>
        <v>1</v>
      </c>
    </row>
    <row r="305" spans="4:15" x14ac:dyDescent="0.2">
      <c r="D305" s="86">
        <v>44159</v>
      </c>
      <c r="E305" s="64">
        <f t="shared" si="29"/>
        <v>4433</v>
      </c>
      <c r="F305" s="101">
        <v>4433</v>
      </c>
      <c r="G305" s="140"/>
      <c r="H305" s="64">
        <f>E305/'Erkrankungs- und Strukturdaten'!$C$7</f>
        <v>8059.9999999999991</v>
      </c>
      <c r="I305" s="64">
        <f t="shared" si="30"/>
        <v>310647</v>
      </c>
      <c r="J305" s="64">
        <f t="shared" si="31"/>
        <v>0</v>
      </c>
      <c r="K305" s="101">
        <f>IFERROR(IF(D305=_Datum,Prognoseparameter!$C$14,
IF(_WachstumsrateKURZ="Bundesweit",IF(D305&gt;_Datum,
         K304+AVERAGE(F301:F304)*(1+_WR)*(1-(K304-VLOOKUP('Erkrankungs- und Strukturdaten'!$C$45,$D:$M,$K$1,FALSE))/$B$16),
         K306-$B$23*F306),
IF(D305&gt;_Datum,K304+G305,IF(G306="",K306/(K306^(1/N305)),K306-G306)))),"")</f>
        <v>0</v>
      </c>
      <c r="L305" s="64">
        <f>I305/'Erkrankungs- und Strukturdaten'!$C$7</f>
        <v>564812.72727272718</v>
      </c>
      <c r="M305" s="65">
        <f t="shared" si="32"/>
        <v>1.4476803803875721E-2</v>
      </c>
      <c r="N305" s="163">
        <v>217</v>
      </c>
      <c r="O305" s="221">
        <f t="shared" si="33"/>
        <v>1</v>
      </c>
    </row>
    <row r="306" spans="4:15" x14ac:dyDescent="0.2">
      <c r="D306" s="86">
        <v>44160</v>
      </c>
      <c r="E306" s="64">
        <f t="shared" si="29"/>
        <v>4302</v>
      </c>
      <c r="F306" s="101">
        <v>4302</v>
      </c>
      <c r="G306" s="140"/>
      <c r="H306" s="64">
        <f>E306/'Erkrankungs- und Strukturdaten'!$C$7</f>
        <v>7821.8181818181811</v>
      </c>
      <c r="I306" s="64">
        <f t="shared" si="30"/>
        <v>314949</v>
      </c>
      <c r="J306" s="64">
        <f t="shared" si="31"/>
        <v>0</v>
      </c>
      <c r="K306" s="101">
        <f>IFERROR(IF(D306=_Datum,Prognoseparameter!$C$14,
IF(_WachstumsrateKURZ="Bundesweit",IF(D306&gt;_Datum,
         K305+AVERAGE(F302:F305)*(1+_WR)*(1-(K305-VLOOKUP('Erkrankungs- und Strukturdaten'!$C$45,$D:$M,$K$1,FALSE))/$B$16),
         K307-$B$23*F307),
IF(D306&gt;_Datum,K305+G306,IF(G307="",K307/(K307^(1/N306)),K307-G307)))),"")</f>
        <v>0</v>
      </c>
      <c r="L306" s="64">
        <f>I306/'Erkrankungs- und Strukturdaten'!$C$7</f>
        <v>572634.54545454541</v>
      </c>
      <c r="M306" s="65">
        <f t="shared" si="32"/>
        <v>1.384851616143082E-2</v>
      </c>
      <c r="N306" s="163">
        <v>217</v>
      </c>
      <c r="O306" s="221">
        <f t="shared" si="33"/>
        <v>1</v>
      </c>
    </row>
    <row r="307" spans="4:15" x14ac:dyDescent="0.2">
      <c r="D307" s="86">
        <v>44161</v>
      </c>
      <c r="E307" s="64">
        <f t="shared" si="29"/>
        <v>3954</v>
      </c>
      <c r="F307" s="101">
        <v>3954</v>
      </c>
      <c r="G307" s="140"/>
      <c r="H307" s="64">
        <f>E307/'Erkrankungs- und Strukturdaten'!$C$7</f>
        <v>7189.0909090909081</v>
      </c>
      <c r="I307" s="64">
        <f t="shared" si="30"/>
        <v>318903</v>
      </c>
      <c r="J307" s="64">
        <f t="shared" si="31"/>
        <v>0</v>
      </c>
      <c r="K307" s="101">
        <f>IFERROR(IF(D307=_Datum,Prognoseparameter!$C$14,
IF(_WachstumsrateKURZ="Bundesweit",IF(D307&gt;_Datum,
         K306+AVERAGE(F303:F306)*(1+_WR)*(1-(K306-VLOOKUP('Erkrankungs- und Strukturdaten'!$C$45,$D:$M,$K$1,FALSE))/$B$16),
         K308-$B$23*F308),
IF(D307&gt;_Datum,K306+G307,IF(G308="",K308/(K308^(1/N307)),K308-G308)))),"")</f>
        <v>0</v>
      </c>
      <c r="L307" s="64">
        <f>I307/'Erkrankungs- und Strukturdaten'!$C$7</f>
        <v>579823.63636363635</v>
      </c>
      <c r="M307" s="65">
        <f t="shared" si="32"/>
        <v>1.2554413571721136E-2</v>
      </c>
      <c r="N307" s="163">
        <v>217</v>
      </c>
      <c r="O307" s="221">
        <f t="shared" si="33"/>
        <v>1</v>
      </c>
    </row>
    <row r="308" spans="4:15" x14ac:dyDescent="0.2">
      <c r="D308" s="86">
        <v>44162</v>
      </c>
      <c r="E308" s="64">
        <f t="shared" si="29"/>
        <v>4070</v>
      </c>
      <c r="F308" s="101">
        <v>4070</v>
      </c>
      <c r="G308" s="140"/>
      <c r="H308" s="64">
        <f>E308/'Erkrankungs- und Strukturdaten'!$C$7</f>
        <v>7399.9999999999991</v>
      </c>
      <c r="I308" s="64">
        <f t="shared" si="30"/>
        <v>322973</v>
      </c>
      <c r="J308" s="64">
        <f t="shared" si="31"/>
        <v>0</v>
      </c>
      <c r="K308" s="101">
        <f>IFERROR(IF(D308=_Datum,Prognoseparameter!$C$14,
IF(_WachstumsrateKURZ="Bundesweit",IF(D308&gt;_Datum,
         K307+AVERAGE(F304:F307)*(1+_WR)*(1-(K307-VLOOKUP('Erkrankungs- und Strukturdaten'!$C$45,$D:$M,$K$1,FALSE))/$B$16),
         K309-$B$23*F309),
IF(D308&gt;_Datum,K307+G308,IF(G309="",K309/(K309^(1/N308)),K309-G309)))),"")</f>
        <v>0</v>
      </c>
      <c r="L308" s="64">
        <f>I308/'Erkrankungs- und Strukturdaten'!$C$7</f>
        <v>587223.63636363635</v>
      </c>
      <c r="M308" s="65">
        <f t="shared" si="32"/>
        <v>1.2762501450284255E-2</v>
      </c>
      <c r="N308" s="163">
        <v>217</v>
      </c>
      <c r="O308" s="221">
        <f t="shared" si="33"/>
        <v>1</v>
      </c>
    </row>
    <row r="309" spans="4:15" x14ac:dyDescent="0.2">
      <c r="D309" s="86">
        <v>44163</v>
      </c>
      <c r="E309" s="64">
        <f t="shared" si="29"/>
        <v>2311</v>
      </c>
      <c r="F309" s="101">
        <v>2311</v>
      </c>
      <c r="G309" s="140"/>
      <c r="H309" s="64">
        <f>E309/'Erkrankungs- und Strukturdaten'!$C$7</f>
        <v>4201.8181818181811</v>
      </c>
      <c r="I309" s="64">
        <f t="shared" si="30"/>
        <v>325284</v>
      </c>
      <c r="J309" s="64">
        <f t="shared" si="31"/>
        <v>0</v>
      </c>
      <c r="K309" s="101">
        <f>IFERROR(IF(D309=_Datum,Prognoseparameter!$C$14,
IF(_WachstumsrateKURZ="Bundesweit",IF(D309&gt;_Datum,
         K308+AVERAGE(F305:F308)*(1+_WR)*(1-(K308-VLOOKUP('Erkrankungs- und Strukturdaten'!$C$45,$D:$M,$K$1,FALSE))/$B$16),
         K310-$B$23*F310),
IF(D309&gt;_Datum,K308+G309,IF(G310="",K310/(K310^(1/N309)),K310-G310)))),"")</f>
        <v>0</v>
      </c>
      <c r="L309" s="64">
        <f>I309/'Erkrankungs- und Strukturdaten'!$C$7</f>
        <v>591425.45454545447</v>
      </c>
      <c r="M309" s="65">
        <f t="shared" si="32"/>
        <v>7.1553968907617661E-3</v>
      </c>
      <c r="N309" s="163">
        <v>217</v>
      </c>
      <c r="O309" s="221">
        <f t="shared" si="33"/>
        <v>1</v>
      </c>
    </row>
    <row r="310" spans="4:15" x14ac:dyDescent="0.2">
      <c r="D310" s="86">
        <v>44164</v>
      </c>
      <c r="E310" s="64">
        <f t="shared" si="29"/>
        <v>1691</v>
      </c>
      <c r="F310" s="101">
        <v>1691</v>
      </c>
      <c r="G310" s="140"/>
      <c r="H310" s="64">
        <f>E310/'Erkrankungs- und Strukturdaten'!$C$7</f>
        <v>3074.5454545454545</v>
      </c>
      <c r="I310" s="64">
        <f t="shared" si="30"/>
        <v>326975</v>
      </c>
      <c r="J310" s="64">
        <f t="shared" si="31"/>
        <v>0</v>
      </c>
      <c r="K310" s="101">
        <f>IFERROR(IF(D310=_Datum,Prognoseparameter!$C$14,
IF(_WachstumsrateKURZ="Bundesweit",IF(D310&gt;_Datum,
         K309+AVERAGE(F306:F309)*(1+_WR)*(1-(K309-VLOOKUP('Erkrankungs- und Strukturdaten'!$C$45,$D:$M,$K$1,FALSE))/$B$16),
         K311-$B$23*F311),
IF(D310&gt;_Datum,K309+G310,IF(G311="",K311/(K311^(1/N310)),K311-G311)))),"")</f>
        <v>0</v>
      </c>
      <c r="L310" s="64">
        <f>I310/'Erkrankungs- und Strukturdaten'!$C$7</f>
        <v>594500</v>
      </c>
      <c r="M310" s="65">
        <f t="shared" si="32"/>
        <v>5.198534203957157E-3</v>
      </c>
      <c r="N310" s="163">
        <v>217</v>
      </c>
      <c r="O310" s="221">
        <f t="shared" si="33"/>
        <v>1</v>
      </c>
    </row>
    <row r="311" spans="4:15" x14ac:dyDescent="0.2">
      <c r="D311" s="86">
        <v>44165</v>
      </c>
      <c r="E311" s="64">
        <f t="shared" si="29"/>
        <v>5271</v>
      </c>
      <c r="F311" s="101">
        <v>5271</v>
      </c>
      <c r="G311" s="140"/>
      <c r="H311" s="64">
        <f>E311/'Erkrankungs- und Strukturdaten'!$C$7</f>
        <v>9583.6363636363621</v>
      </c>
      <c r="I311" s="64">
        <f t="shared" si="30"/>
        <v>332246</v>
      </c>
      <c r="J311" s="64">
        <f t="shared" si="31"/>
        <v>0</v>
      </c>
      <c r="K311" s="101">
        <f>IFERROR(IF(D311=_Datum,Prognoseparameter!$C$14,
IF(_WachstumsrateKURZ="Bundesweit",IF(D311&gt;_Datum,
         K310+AVERAGE(F307:F310)*(1+_WR)*(1-(K310-VLOOKUP('Erkrankungs- und Strukturdaten'!$C$45,$D:$M,$K$1,FALSE))/$B$16),
         K312-$B$23*F312),
IF(D311&gt;_Datum,K310+G311,IF(G312="",K312/(K312^(1/N311)),K312-G312)))),"")</f>
        <v>0</v>
      </c>
      <c r="L311" s="64">
        <f>I311/'Erkrankungs- und Strukturdaten'!$C$7</f>
        <v>604083.63636363635</v>
      </c>
      <c r="M311" s="65">
        <f t="shared" si="32"/>
        <v>1.6120498509060326E-2</v>
      </c>
      <c r="N311" s="163">
        <v>217</v>
      </c>
      <c r="O311" s="221">
        <f t="shared" si="33"/>
        <v>1</v>
      </c>
    </row>
    <row r="312" spans="4:15" x14ac:dyDescent="0.2">
      <c r="D312" s="86">
        <v>44166</v>
      </c>
      <c r="E312" s="64">
        <f t="shared" si="29"/>
        <v>4251</v>
      </c>
      <c r="F312" s="101">
        <v>4251</v>
      </c>
      <c r="G312" s="140"/>
      <c r="H312" s="64">
        <f>E312/'Erkrankungs- und Strukturdaten'!$C$7</f>
        <v>7729.0909090909081</v>
      </c>
      <c r="I312" s="64">
        <f t="shared" si="30"/>
        <v>336497</v>
      </c>
      <c r="J312" s="64">
        <f t="shared" si="31"/>
        <v>0</v>
      </c>
      <c r="K312" s="101">
        <f>IFERROR(IF(D312=_Datum,Prognoseparameter!$C$14,
IF(_WachstumsrateKURZ="Bundesweit",IF(D312&gt;_Datum,
         K311+AVERAGE(F308:F311)*(1+_WR)*(1-(K311-VLOOKUP('Erkrankungs- und Strukturdaten'!$C$45,$D:$M,$K$1,FALSE))/$B$16),
         K313-$B$23*F313),
IF(D312&gt;_Datum,K311+G312,IF(G313="",K313/(K313^(1/N312)),K313-G313)))),"")</f>
        <v>0</v>
      </c>
      <c r="L312" s="64">
        <f>I312/'Erkrankungs- und Strukturdaten'!$C$7</f>
        <v>611812.72727272718</v>
      </c>
      <c r="M312" s="65">
        <f t="shared" si="32"/>
        <v>1.2794736430235428E-2</v>
      </c>
      <c r="N312" s="163">
        <v>217</v>
      </c>
      <c r="O312" s="221">
        <f t="shared" si="33"/>
        <v>1</v>
      </c>
    </row>
    <row r="313" spans="4:15" x14ac:dyDescent="0.2">
      <c r="D313" s="86">
        <v>44167</v>
      </c>
      <c r="E313" s="64">
        <f t="shared" si="29"/>
        <v>4423</v>
      </c>
      <c r="F313" s="101">
        <v>4423</v>
      </c>
      <c r="G313" s="140"/>
      <c r="H313" s="64">
        <f>E313/'Erkrankungs- und Strukturdaten'!$C$7</f>
        <v>8041.8181818181811</v>
      </c>
      <c r="I313" s="64">
        <f t="shared" si="30"/>
        <v>340920</v>
      </c>
      <c r="J313" s="64">
        <f t="shared" si="31"/>
        <v>0</v>
      </c>
      <c r="K313" s="101">
        <f>IFERROR(IF(D313=_Datum,Prognoseparameter!$C$14,
IF(_WachstumsrateKURZ="Bundesweit",IF(D313&gt;_Datum,
         K312+AVERAGE(F309:F312)*(1+_WR)*(1-(K312-VLOOKUP('Erkrankungs- und Strukturdaten'!$C$45,$D:$M,$K$1,FALSE))/$B$16),
         K314-$B$23*F314),
IF(D313&gt;_Datum,K312+G313,IF(G314="",K314/(K314^(1/N313)),K314-G314)))),"")</f>
        <v>0</v>
      </c>
      <c r="L313" s="64">
        <f>I313/'Erkrankungs- und Strukturdaten'!$C$7</f>
        <v>619854.54545454541</v>
      </c>
      <c r="M313" s="65">
        <f t="shared" si="32"/>
        <v>1.3144247942775121E-2</v>
      </c>
      <c r="N313" s="163">
        <v>217</v>
      </c>
      <c r="O313" s="221">
        <f t="shared" si="33"/>
        <v>1</v>
      </c>
    </row>
    <row r="314" spans="4:15" x14ac:dyDescent="0.2">
      <c r="D314" s="86">
        <v>44168</v>
      </c>
      <c r="E314" s="64">
        <f t="shared" si="29"/>
        <v>4320</v>
      </c>
      <c r="F314" s="101">
        <v>4320</v>
      </c>
      <c r="G314" s="140"/>
      <c r="H314" s="64">
        <f>E314/'Erkrankungs- und Strukturdaten'!$C$7</f>
        <v>7854.545454545454</v>
      </c>
      <c r="I314" s="64">
        <f t="shared" si="30"/>
        <v>345240</v>
      </c>
      <c r="J314" s="64">
        <f t="shared" si="31"/>
        <v>0</v>
      </c>
      <c r="K314" s="101">
        <f>IFERROR(IF(D314=_Datum,Prognoseparameter!$C$14,
IF(_WachstumsrateKURZ="Bundesweit",IF(D314&gt;_Datum,
         K313+AVERAGE(F310:F313)*(1+_WR)*(1-(K313-VLOOKUP('Erkrankungs- und Strukturdaten'!$C$45,$D:$M,$K$1,FALSE))/$B$16),
         K315-$B$23*F315),
IF(D314&gt;_Datum,K313+G314,IF(G315="",K315/(K315^(1/N314)),K315-G315)))),"")</f>
        <v>0</v>
      </c>
      <c r="L314" s="64">
        <f>I314/'Erkrankungs- und Strukturdaten'!$C$7</f>
        <v>627709.09090909082</v>
      </c>
      <c r="M314" s="65">
        <f t="shared" si="32"/>
        <v>1.2671594508975714E-2</v>
      </c>
      <c r="N314" s="163">
        <v>217</v>
      </c>
      <c r="O314" s="221">
        <f t="shared" si="33"/>
        <v>1</v>
      </c>
    </row>
    <row r="315" spans="4:15" x14ac:dyDescent="0.2">
      <c r="D315" s="86">
        <v>44169</v>
      </c>
      <c r="E315" s="64">
        <f t="shared" si="29"/>
        <v>4561</v>
      </c>
      <c r="F315" s="101">
        <v>4561</v>
      </c>
      <c r="G315" s="140"/>
      <c r="H315" s="64">
        <f>E315/'Erkrankungs- und Strukturdaten'!$C$7</f>
        <v>8292.7272727272721</v>
      </c>
      <c r="I315" s="64">
        <f t="shared" si="30"/>
        <v>349801</v>
      </c>
      <c r="J315" s="64">
        <f t="shared" si="31"/>
        <v>0</v>
      </c>
      <c r="K315" s="101">
        <f>IFERROR(IF(D315=_Datum,Prognoseparameter!$C$14,
IF(_WachstumsrateKURZ="Bundesweit",IF(D315&gt;_Datum,
         K314+AVERAGE(F311:F314)*(1+_WR)*(1-(K314-VLOOKUP('Erkrankungs- und Strukturdaten'!$C$45,$D:$M,$K$1,FALSE))/$B$16),
         K316-$B$23*F316),
IF(D315&gt;_Datum,K314+G315,IF(G316="",K316/(K316^(1/N315)),K316-G316)))),"")</f>
        <v>0</v>
      </c>
      <c r="L315" s="64">
        <f>I315/'Erkrankungs- und Strukturdaten'!$C$7</f>
        <v>636001.81818181812</v>
      </c>
      <c r="M315" s="65">
        <f t="shared" si="32"/>
        <v>1.3211099524968139E-2</v>
      </c>
      <c r="N315" s="163">
        <v>217</v>
      </c>
      <c r="O315" s="221">
        <f t="shared" si="33"/>
        <v>1</v>
      </c>
    </row>
    <row r="316" spans="4:15" x14ac:dyDescent="0.2">
      <c r="D316" s="86">
        <v>44170</v>
      </c>
      <c r="E316" s="64">
        <f t="shared" si="29"/>
        <v>2519</v>
      </c>
      <c r="F316" s="101">
        <v>2519</v>
      </c>
      <c r="G316" s="140"/>
      <c r="H316" s="64">
        <f>E316/'Erkrankungs- und Strukturdaten'!$C$7</f>
        <v>4580</v>
      </c>
      <c r="I316" s="64">
        <f t="shared" si="30"/>
        <v>352320</v>
      </c>
      <c r="J316" s="64">
        <f t="shared" si="31"/>
        <v>0</v>
      </c>
      <c r="K316" s="101">
        <f>IFERROR(IF(D316=_Datum,Prognoseparameter!$C$14,
IF(_WachstumsrateKURZ="Bundesweit",IF(D316&gt;_Datum,
         K315+AVERAGE(F312:F315)*(1+_WR)*(1-(K315-VLOOKUP('Erkrankungs- und Strukturdaten'!$C$45,$D:$M,$K$1,FALSE))/$B$16),
         K317-$B$23*F317),
IF(D316&gt;_Datum,K315+G316,IF(G317="",K317/(K317^(1/N316)),K317-G317)))),"")</f>
        <v>0</v>
      </c>
      <c r="L316" s="64">
        <f>I316/'Erkrankungs- und Strukturdaten'!$C$7</f>
        <v>640581.81818181812</v>
      </c>
      <c r="M316" s="65">
        <f t="shared" si="32"/>
        <v>7.201237274907733E-3</v>
      </c>
      <c r="N316" s="163">
        <v>217</v>
      </c>
      <c r="O316" s="221">
        <f t="shared" si="33"/>
        <v>1</v>
      </c>
    </row>
    <row r="317" spans="4:15" x14ac:dyDescent="0.2">
      <c r="D317" s="86">
        <v>44171</v>
      </c>
      <c r="E317" s="64">
        <f t="shared" si="29"/>
        <v>1938</v>
      </c>
      <c r="F317" s="101">
        <v>1938</v>
      </c>
      <c r="G317" s="140"/>
      <c r="H317" s="64">
        <f>E317/'Erkrankungs- und Strukturdaten'!$C$7</f>
        <v>3523.6363636363635</v>
      </c>
      <c r="I317" s="64">
        <f t="shared" si="30"/>
        <v>354258</v>
      </c>
      <c r="J317" s="64">
        <f t="shared" si="31"/>
        <v>0</v>
      </c>
      <c r="K317" s="101">
        <f>IFERROR(IF(D317=_Datum,Prognoseparameter!$C$14,
IF(_WachstumsrateKURZ="Bundesweit",IF(D317&gt;_Datum,
         K316+AVERAGE(F313:F316)*(1+_WR)*(1-(K316-VLOOKUP('Erkrankungs- und Strukturdaten'!$C$45,$D:$M,$K$1,FALSE))/$B$16),
         K318-$B$23*F318),
IF(D317&gt;_Datum,K316+G317,IF(G318="",K318/(K318^(1/N317)),K318-G318)))),"")</f>
        <v>0</v>
      </c>
      <c r="L317" s="64">
        <f>I317/'Erkrankungs- und Strukturdaten'!$C$7</f>
        <v>644105.45454545447</v>
      </c>
      <c r="M317" s="65">
        <f t="shared" si="32"/>
        <v>5.5006811989100814E-3</v>
      </c>
      <c r="N317" s="163">
        <v>217</v>
      </c>
      <c r="O317" s="221">
        <f t="shared" si="33"/>
        <v>1</v>
      </c>
    </row>
    <row r="318" spans="4:15" x14ac:dyDescent="0.2">
      <c r="D318" s="86">
        <v>44172</v>
      </c>
      <c r="E318" s="64">
        <f t="shared" si="29"/>
        <v>5828</v>
      </c>
      <c r="F318" s="101">
        <v>5828</v>
      </c>
      <c r="G318" s="140"/>
      <c r="H318" s="64">
        <f>E318/'Erkrankungs- und Strukturdaten'!$C$7</f>
        <v>10596.363636363636</v>
      </c>
      <c r="I318" s="64">
        <f t="shared" si="30"/>
        <v>360086</v>
      </c>
      <c r="J318" s="64">
        <f t="shared" si="31"/>
        <v>0</v>
      </c>
      <c r="K318" s="101">
        <f>IFERROR(IF(D318=_Datum,Prognoseparameter!$C$14,
IF(_WachstumsrateKURZ="Bundesweit",IF(D318&gt;_Datum,
         K317+AVERAGE(F314:F317)*(1+_WR)*(1-(K317-VLOOKUP('Erkrankungs- und Strukturdaten'!$C$45,$D:$M,$K$1,FALSE))/$B$16),
         K319-$B$23*F319),
IF(D318&gt;_Datum,K317+G318,IF(G319="",K319/(K319^(1/N318)),K319-G319)))),"")</f>
        <v>0</v>
      </c>
      <c r="L318" s="64">
        <f>I318/'Erkrankungs- und Strukturdaten'!$C$7</f>
        <v>654701.81818181812</v>
      </c>
      <c r="M318" s="65">
        <f t="shared" si="32"/>
        <v>1.6451286915186106E-2</v>
      </c>
      <c r="N318" s="163">
        <v>217</v>
      </c>
      <c r="O318" s="221">
        <f t="shared" si="33"/>
        <v>1</v>
      </c>
    </row>
    <row r="319" spans="4:15" x14ac:dyDescent="0.2">
      <c r="D319" s="86">
        <v>44173</v>
      </c>
      <c r="E319" s="64">
        <f t="shared" si="29"/>
        <v>4670</v>
      </c>
      <c r="F319" s="101">
        <v>4670</v>
      </c>
      <c r="G319" s="140"/>
      <c r="H319" s="64">
        <f>E319/'Erkrankungs- und Strukturdaten'!$C$7</f>
        <v>8490.9090909090901</v>
      </c>
      <c r="I319" s="64">
        <f t="shared" si="30"/>
        <v>364756</v>
      </c>
      <c r="J319" s="64">
        <f t="shared" si="31"/>
        <v>0</v>
      </c>
      <c r="K319" s="101">
        <f>IFERROR(IF(D319=_Datum,Prognoseparameter!$C$14,
IF(_WachstumsrateKURZ="Bundesweit",IF(D319&gt;_Datum,
         K318+AVERAGE(F315:F318)*(1+_WR)*(1-(K318-VLOOKUP('Erkrankungs- und Strukturdaten'!$C$45,$D:$M,$K$1,FALSE))/$B$16),
         K320-$B$23*F320),
IF(D319&gt;_Datum,K318+G319,IF(G320="",K320/(K320^(1/N319)),K320-G320)))),"")</f>
        <v>0</v>
      </c>
      <c r="L319" s="64">
        <f>I319/'Erkrankungs- und Strukturdaten'!$C$7</f>
        <v>663192.72727272718</v>
      </c>
      <c r="M319" s="65">
        <f t="shared" si="32"/>
        <v>1.2969124042589826E-2</v>
      </c>
      <c r="N319" s="163">
        <v>217</v>
      </c>
      <c r="O319" s="221">
        <f t="shared" si="33"/>
        <v>1</v>
      </c>
    </row>
    <row r="320" spans="4:15" x14ac:dyDescent="0.2">
      <c r="D320" s="86">
        <v>44174</v>
      </c>
      <c r="E320" s="64">
        <f t="shared" si="29"/>
        <v>5242</v>
      </c>
      <c r="F320" s="101">
        <v>5242</v>
      </c>
      <c r="G320" s="140"/>
      <c r="H320" s="64">
        <f>E320/'Erkrankungs- und Strukturdaten'!$C$7</f>
        <v>9530.9090909090901</v>
      </c>
      <c r="I320" s="64">
        <f t="shared" si="30"/>
        <v>369998</v>
      </c>
      <c r="J320" s="64">
        <f t="shared" si="31"/>
        <v>0</v>
      </c>
      <c r="K320" s="101">
        <f>IFERROR(IF(D320=_Datum,Prognoseparameter!$C$14,
IF(_WachstumsrateKURZ="Bundesweit",IF(D320&gt;_Datum,
         K319+AVERAGE(F316:F319)*(1+_WR)*(1-(K319-VLOOKUP('Erkrankungs- und Strukturdaten'!$C$45,$D:$M,$K$1,FALSE))/$B$16),
         K321-$B$23*F321),
IF(D320&gt;_Datum,K319+G320,IF(G321="",K321/(K321^(1/N320)),K321-G321)))),"")</f>
        <v>0</v>
      </c>
      <c r="L320" s="64">
        <f>I320/'Erkrankungs- und Strukturdaten'!$C$7</f>
        <v>672723.63636363635</v>
      </c>
      <c r="M320" s="65">
        <f t="shared" si="32"/>
        <v>1.4371250918422179E-2</v>
      </c>
      <c r="N320" s="163">
        <v>217</v>
      </c>
      <c r="O320" s="221">
        <f t="shared" si="33"/>
        <v>1</v>
      </c>
    </row>
    <row r="321" spans="4:15" x14ac:dyDescent="0.2">
      <c r="D321" s="86">
        <v>44175</v>
      </c>
      <c r="E321" s="64">
        <f t="shared" si="29"/>
        <v>4638</v>
      </c>
      <c r="F321" s="101">
        <v>4638</v>
      </c>
      <c r="G321" s="140"/>
      <c r="H321" s="64">
        <f>E321/'Erkrankungs- und Strukturdaten'!$C$7</f>
        <v>8432.7272727272721</v>
      </c>
      <c r="I321" s="64">
        <f t="shared" si="30"/>
        <v>374636</v>
      </c>
      <c r="J321" s="64">
        <f t="shared" si="31"/>
        <v>0</v>
      </c>
      <c r="K321" s="101">
        <f>IFERROR(IF(D321=_Datum,Prognoseparameter!$C$14,
IF(_WachstumsrateKURZ="Bundesweit",IF(D321&gt;_Datum,
         K320+AVERAGE(F317:F320)*(1+_WR)*(1-(K320-VLOOKUP('Erkrankungs- und Strukturdaten'!$C$45,$D:$M,$K$1,FALSE))/$B$16),
         K322-$B$23*F322),
IF(D321&gt;_Datum,K320+G321,IF(G322="",K322/(K322^(1/N321)),K322-G322)))),"")</f>
        <v>0</v>
      </c>
      <c r="L321" s="64">
        <f>I321/'Erkrankungs- und Strukturdaten'!$C$7</f>
        <v>681156.36363636353</v>
      </c>
      <c r="M321" s="65">
        <f t="shared" si="32"/>
        <v>1.2535202892988611E-2</v>
      </c>
      <c r="N321" s="163">
        <v>217</v>
      </c>
      <c r="O321" s="221">
        <f t="shared" si="33"/>
        <v>1</v>
      </c>
    </row>
    <row r="322" spans="4:15" x14ac:dyDescent="0.2">
      <c r="D322" s="86">
        <v>44176</v>
      </c>
      <c r="E322" s="64">
        <f t="shared" si="29"/>
        <v>4679</v>
      </c>
      <c r="F322" s="101">
        <v>4679</v>
      </c>
      <c r="G322" s="140"/>
      <c r="H322" s="64">
        <f>E322/'Erkrankungs- und Strukturdaten'!$C$7</f>
        <v>8507.2727272727261</v>
      </c>
      <c r="I322" s="64">
        <f t="shared" si="30"/>
        <v>379315</v>
      </c>
      <c r="J322" s="64">
        <f t="shared" si="31"/>
        <v>0</v>
      </c>
      <c r="K322" s="101">
        <f>IFERROR(IF(D322=_Datum,Prognoseparameter!$C$14,
IF(_WachstumsrateKURZ="Bundesweit",IF(D322&gt;_Datum,
         K321+AVERAGE(F318:F321)*(1+_WR)*(1-(K321-VLOOKUP('Erkrankungs- und Strukturdaten'!$C$45,$D:$M,$K$1,FALSE))/$B$16),
         K323-$B$23*F323),
IF(D322&gt;_Datum,K321+G322,IF(G323="",K323/(K323^(1/N322)),K323-G323)))),"")</f>
        <v>0</v>
      </c>
      <c r="L322" s="64">
        <f>I322/'Erkrankungs- und Strukturdaten'!$C$7</f>
        <v>689663.63636363635</v>
      </c>
      <c r="M322" s="65">
        <f t="shared" si="32"/>
        <v>1.2489456432377028E-2</v>
      </c>
      <c r="N322" s="163">
        <v>217</v>
      </c>
      <c r="O322" s="221">
        <f t="shared" si="33"/>
        <v>1</v>
      </c>
    </row>
    <row r="323" spans="4:15" x14ac:dyDescent="0.2">
      <c r="D323" s="86">
        <v>44177</v>
      </c>
      <c r="E323" s="64">
        <f t="shared" si="29"/>
        <v>2863</v>
      </c>
      <c r="F323" s="101">
        <v>2863</v>
      </c>
      <c r="G323" s="140"/>
      <c r="H323" s="64">
        <f>E323/'Erkrankungs- und Strukturdaten'!$C$7</f>
        <v>5205.454545454545</v>
      </c>
      <c r="I323" s="64">
        <f t="shared" si="30"/>
        <v>382178</v>
      </c>
      <c r="J323" s="64">
        <f t="shared" si="31"/>
        <v>0</v>
      </c>
      <c r="K323" s="101">
        <f>IFERROR(IF(D323=_Datum,Prognoseparameter!$C$14,
IF(_WachstumsrateKURZ="Bundesweit",IF(D323&gt;_Datum,
         K322+AVERAGE(F319:F322)*(1+_WR)*(1-(K322-VLOOKUP('Erkrankungs- und Strukturdaten'!$C$45,$D:$M,$K$1,FALSE))/$B$16),
         K324-$B$23*F324),
IF(D323&gt;_Datum,K322+G323,IF(G324="",K324/(K324^(1/N323)),K324-G324)))),"")</f>
        <v>0</v>
      </c>
      <c r="L323" s="64">
        <f>I323/'Erkrankungs- und Strukturdaten'!$C$7</f>
        <v>694869.09090909082</v>
      </c>
      <c r="M323" s="65">
        <f t="shared" si="32"/>
        <v>7.5478164586161899E-3</v>
      </c>
      <c r="N323" s="163">
        <v>217</v>
      </c>
      <c r="O323" s="221">
        <f t="shared" si="33"/>
        <v>1</v>
      </c>
    </row>
    <row r="324" spans="4:15" x14ac:dyDescent="0.2">
      <c r="D324" s="86">
        <v>44178</v>
      </c>
      <c r="E324" s="64">
        <f t="shared" ref="E324:E387" si="34">IF(_AusgangswertKURZ="Bevölkerungsanteil",
$B$26*IF(F324=ROUNDDOWN(F324,0),F324,F324*VLOOKUP(WEEKDAY($D324,1),$A$51:$B$57,$B$1,FALSE)),
$B$17*IF(G324=ROUNDDOWN(G324,0),G324,G324*VLOOKUP(WEEKDAY($D324,1),$A$51:$B$57,$B$1,FALSE)))</f>
        <v>2086</v>
      </c>
      <c r="F324" s="101">
        <v>2086</v>
      </c>
      <c r="G324" s="140"/>
      <c r="H324" s="64">
        <f>E324/'Erkrankungs- und Strukturdaten'!$C$7</f>
        <v>3792.7272727272725</v>
      </c>
      <c r="I324" s="64">
        <f t="shared" si="30"/>
        <v>384264</v>
      </c>
      <c r="J324" s="64">
        <f t="shared" si="31"/>
        <v>0</v>
      </c>
      <c r="K324" s="101">
        <f>IFERROR(IF(D324=_Datum,Prognoseparameter!$C$14,
IF(_WachstumsrateKURZ="Bundesweit",IF(D324&gt;_Datum,
         K323+AVERAGE(F320:F323)*(1+_WR)*(1-(K323-VLOOKUP('Erkrankungs- und Strukturdaten'!$C$45,$D:$M,$K$1,FALSE))/$B$16),
         K325-$B$23*F325),
IF(D324&gt;_Datum,K323+G324,IF(G325="",K325/(K325^(1/N324)),K325-G325)))),"")</f>
        <v>0</v>
      </c>
      <c r="L324" s="64">
        <f>I324/'Erkrankungs- und Strukturdaten'!$C$7</f>
        <v>698661.81818181812</v>
      </c>
      <c r="M324" s="65">
        <f t="shared" si="32"/>
        <v>5.4581896393826957E-3</v>
      </c>
      <c r="N324" s="163">
        <v>217</v>
      </c>
      <c r="O324" s="221">
        <f t="shared" si="33"/>
        <v>1</v>
      </c>
    </row>
    <row r="325" spans="4:15" x14ac:dyDescent="0.2">
      <c r="D325" s="86">
        <v>44179</v>
      </c>
      <c r="E325" s="64">
        <f t="shared" si="34"/>
        <v>5915</v>
      </c>
      <c r="F325" s="101">
        <v>5915</v>
      </c>
      <c r="G325" s="140"/>
      <c r="H325" s="64">
        <f>E325/'Erkrankungs- und Strukturdaten'!$C$7</f>
        <v>10754.545454545454</v>
      </c>
      <c r="I325" s="64">
        <f t="shared" si="30"/>
        <v>390179</v>
      </c>
      <c r="J325" s="64">
        <f t="shared" si="31"/>
        <v>0</v>
      </c>
      <c r="K325" s="101">
        <f>IFERROR(IF(D325=_Datum,Prognoseparameter!$C$14,
IF(_WachstumsrateKURZ="Bundesweit",IF(D325&gt;_Datum,
         K324+AVERAGE(F321:F324)*(1+_WR)*(1-(K324-VLOOKUP('Erkrankungs- und Strukturdaten'!$C$45,$D:$M,$K$1,FALSE))/$B$16),
         K326-$B$23*F326),
IF(D325&gt;_Datum,K324+G325,IF(G326="",K326/(K326^(1/N325)),K326-G326)))),"")</f>
        <v>0</v>
      </c>
      <c r="L325" s="64">
        <f>I325/'Erkrankungs- und Strukturdaten'!$C$7</f>
        <v>709416.36363636353</v>
      </c>
      <c r="M325" s="65">
        <f t="shared" si="32"/>
        <v>1.5393063102450399E-2</v>
      </c>
      <c r="N325" s="163">
        <v>217</v>
      </c>
      <c r="O325" s="221">
        <f t="shared" si="33"/>
        <v>1</v>
      </c>
    </row>
    <row r="326" spans="4:15" x14ac:dyDescent="0.2">
      <c r="D326" s="86">
        <v>44180</v>
      </c>
      <c r="E326" s="64">
        <f t="shared" si="34"/>
        <v>5166</v>
      </c>
      <c r="F326" s="101">
        <v>5166</v>
      </c>
      <c r="G326" s="140"/>
      <c r="H326" s="64">
        <f>E326/'Erkrankungs- und Strukturdaten'!$C$7</f>
        <v>9392.7272727272721</v>
      </c>
      <c r="I326" s="64">
        <f t="shared" ref="I326:I389" si="35">I325+F326</f>
        <v>395345</v>
      </c>
      <c r="J326" s="64">
        <f t="shared" si="31"/>
        <v>0</v>
      </c>
      <c r="K326" s="101">
        <f>IFERROR(IF(D326=_Datum,Prognoseparameter!$C$14,
IF(_WachstumsrateKURZ="Bundesweit",IF(D326&gt;_Datum,
         K325+AVERAGE(F322:F325)*(1+_WR)*(1-(K325-VLOOKUP('Erkrankungs- und Strukturdaten'!$C$45,$D:$M,$K$1,FALSE))/$B$16),
         K327-$B$23*F327),
IF(D326&gt;_Datum,K325+G326,IF(G327="",K327/(K327^(1/N326)),K327-G327)))),"")</f>
        <v>0</v>
      </c>
      <c r="L326" s="64">
        <f>I326/'Erkrankungs- und Strukturdaten'!$C$7</f>
        <v>718809.09090909082</v>
      </c>
      <c r="M326" s="65">
        <f t="shared" si="32"/>
        <v>1.3240076990304449E-2</v>
      </c>
      <c r="N326" s="163">
        <v>217</v>
      </c>
      <c r="O326" s="221">
        <f t="shared" si="33"/>
        <v>1</v>
      </c>
    </row>
    <row r="327" spans="4:15" x14ac:dyDescent="0.2">
      <c r="D327" s="86">
        <v>44181</v>
      </c>
      <c r="E327" s="64">
        <f t="shared" si="34"/>
        <v>4819</v>
      </c>
      <c r="F327" s="101">
        <v>4819</v>
      </c>
      <c r="G327" s="140"/>
      <c r="H327" s="64">
        <f>E327/'Erkrankungs- und Strukturdaten'!$C$7</f>
        <v>8761.818181818182</v>
      </c>
      <c r="I327" s="64">
        <f t="shared" si="35"/>
        <v>400164</v>
      </c>
      <c r="J327" s="64">
        <f t="shared" si="31"/>
        <v>0</v>
      </c>
      <c r="K327" s="101">
        <f>IFERROR(IF(D327=_Datum,Prognoseparameter!$C$14,
IF(_WachstumsrateKURZ="Bundesweit",IF(D327&gt;_Datum,
         K326+AVERAGE(F323:F326)*(1+_WR)*(1-(K326-VLOOKUP('Erkrankungs- und Strukturdaten'!$C$45,$D:$M,$K$1,FALSE))/$B$16),
         K328-$B$23*F328),
IF(D327&gt;_Datum,K326+G327,IF(G328="",K328/(K328^(1/N327)),K328-G328)))),"")</f>
        <v>0</v>
      </c>
      <c r="L327" s="64">
        <f>I327/'Erkrankungs- und Strukturdaten'!$C$7</f>
        <v>727570.90909090906</v>
      </c>
      <c r="M327" s="65">
        <f t="shared" si="32"/>
        <v>1.2189353602549672E-2</v>
      </c>
      <c r="N327" s="163">
        <v>217</v>
      </c>
      <c r="O327" s="221">
        <f t="shared" si="33"/>
        <v>1</v>
      </c>
    </row>
    <row r="328" spans="4:15" x14ac:dyDescent="0.2">
      <c r="D328" s="86">
        <v>44182</v>
      </c>
      <c r="E328" s="64">
        <f t="shared" si="34"/>
        <v>4387</v>
      </c>
      <c r="F328" s="101">
        <v>4387</v>
      </c>
      <c r="G328" s="140"/>
      <c r="H328" s="64">
        <f>E328/'Erkrankungs- und Strukturdaten'!$C$7</f>
        <v>7976.363636363636</v>
      </c>
      <c r="I328" s="64">
        <f t="shared" si="35"/>
        <v>404551</v>
      </c>
      <c r="J328" s="64">
        <f t="shared" si="31"/>
        <v>0</v>
      </c>
      <c r="K328" s="101">
        <f>IFERROR(IF(D328=_Datum,Prognoseparameter!$C$14,
IF(_WachstumsrateKURZ="Bundesweit",IF(D328&gt;_Datum,
         K327+AVERAGE(F324:F327)*(1+_WR)*(1-(K327-VLOOKUP('Erkrankungs- und Strukturdaten'!$C$45,$D:$M,$K$1,FALSE))/$B$16),
         K329-$B$23*F329),
IF(D328&gt;_Datum,K327+G328,IF(G329="",K329/(K329^(1/N328)),K329-G329)))),"")</f>
        <v>0</v>
      </c>
      <c r="L328" s="64">
        <f>I328/'Erkrankungs- und Strukturdaten'!$C$7</f>
        <v>735547.27272727271</v>
      </c>
      <c r="M328" s="65">
        <f t="shared" si="32"/>
        <v>1.0963005167881169E-2</v>
      </c>
      <c r="N328" s="163">
        <v>217</v>
      </c>
      <c r="O328" s="221">
        <f t="shared" si="33"/>
        <v>1</v>
      </c>
    </row>
    <row r="329" spans="4:15" x14ac:dyDescent="0.2">
      <c r="D329" s="86">
        <v>44183</v>
      </c>
      <c r="E329" s="64">
        <f t="shared" si="34"/>
        <v>4343</v>
      </c>
      <c r="F329" s="101">
        <v>4343</v>
      </c>
      <c r="G329" s="140"/>
      <c r="H329" s="64">
        <f>E329/'Erkrankungs- und Strukturdaten'!$C$7</f>
        <v>7896.363636363636</v>
      </c>
      <c r="I329" s="64">
        <f t="shared" si="35"/>
        <v>408894</v>
      </c>
      <c r="J329" s="64">
        <f t="shared" si="31"/>
        <v>0</v>
      </c>
      <c r="K329" s="101">
        <f>IFERROR(IF(D329=_Datum,Prognoseparameter!$C$14,
IF(_WachstumsrateKURZ="Bundesweit",IF(D329&gt;_Datum,
         K328+AVERAGE(F325:F328)*(1+_WR)*(1-(K328-VLOOKUP('Erkrankungs- und Strukturdaten'!$C$45,$D:$M,$K$1,FALSE))/$B$16),
         K330-$B$23*F330),
IF(D329&gt;_Datum,K328+G329,IF(G330="",K330/(K330^(1/N329)),K330-G330)))),"")</f>
        <v>0</v>
      </c>
      <c r="L329" s="64">
        <f>I329/'Erkrankungs- und Strukturdaten'!$C$7</f>
        <v>743443.63636363635</v>
      </c>
      <c r="M329" s="65">
        <f t="shared" si="32"/>
        <v>1.0735358459131235E-2</v>
      </c>
      <c r="N329" s="163">
        <v>217</v>
      </c>
      <c r="O329" s="221">
        <f t="shared" si="33"/>
        <v>1</v>
      </c>
    </row>
    <row r="330" spans="4:15" x14ac:dyDescent="0.2">
      <c r="D330" s="86">
        <v>44184</v>
      </c>
      <c r="E330" s="64">
        <f t="shared" si="34"/>
        <v>2675</v>
      </c>
      <c r="F330" s="101">
        <v>2675</v>
      </c>
      <c r="G330" s="140"/>
      <c r="H330" s="64">
        <f>E330/'Erkrankungs- und Strukturdaten'!$C$7</f>
        <v>4863.6363636363631</v>
      </c>
      <c r="I330" s="64">
        <f t="shared" si="35"/>
        <v>411569</v>
      </c>
      <c r="J330" s="64">
        <f t="shared" ref="J330:J337" si="36">J329+G330</f>
        <v>0</v>
      </c>
      <c r="K330" s="101">
        <f>IFERROR(IF(D330=_Datum,Prognoseparameter!$C$14,
IF(_WachstumsrateKURZ="Bundesweit",IF(D330&gt;_Datum,
         K329+AVERAGE(F326:F329)*(1+_WR)*(1-(K329-VLOOKUP('Erkrankungs- und Strukturdaten'!$C$45,$D:$M,$K$1,FALSE))/$B$16),
         K331-$B$23*F331),
IF(D330&gt;_Datum,K329+G330,IF(G331="",K331/(K331^(1/N330)),K331-G331)))),"")</f>
        <v>0</v>
      </c>
      <c r="L330" s="64">
        <f>I330/'Erkrankungs- und Strukturdaten'!$C$7</f>
        <v>748307.27272727271</v>
      </c>
      <c r="M330" s="65">
        <f t="shared" ref="M330:M337" si="37">IFERROR((I330-I329)/I329,0)</f>
        <v>6.5420377897450191E-3</v>
      </c>
      <c r="N330" s="163">
        <v>217</v>
      </c>
      <c r="O330" s="221">
        <f t="shared" ref="O330:O337" si="38">IF(F330=ROUNDDOWN(F330,0),1,0)</f>
        <v>1</v>
      </c>
    </row>
    <row r="331" spans="4:15" x14ac:dyDescent="0.2">
      <c r="D331" s="86">
        <v>44185</v>
      </c>
      <c r="E331" s="64">
        <f t="shared" si="34"/>
        <v>1955</v>
      </c>
      <c r="F331" s="101">
        <v>1955</v>
      </c>
      <c r="G331" s="140"/>
      <c r="H331" s="64">
        <f>E331/'Erkrankungs- und Strukturdaten'!$C$7</f>
        <v>3554.545454545454</v>
      </c>
      <c r="I331" s="64">
        <f t="shared" si="35"/>
        <v>413524</v>
      </c>
      <c r="J331" s="64">
        <f t="shared" si="36"/>
        <v>0</v>
      </c>
      <c r="K331" s="101">
        <f>IFERROR(IF(D331=_Datum,Prognoseparameter!$C$14,
IF(_WachstumsrateKURZ="Bundesweit",IF(D331&gt;_Datum,
         K330+AVERAGE(F327:F330)*(1+_WR)*(1-(K330-VLOOKUP('Erkrankungs- und Strukturdaten'!$C$45,$D:$M,$K$1,FALSE))/$B$16),
         K332-$B$23*F332),
IF(D331&gt;_Datum,K330+G331,IF(G332="",K332/(K332^(1/N331)),K332-G332)))),"")</f>
        <v>0</v>
      </c>
      <c r="L331" s="64">
        <f>I331/'Erkrankungs- und Strukturdaten'!$C$7</f>
        <v>751861.81818181812</v>
      </c>
      <c r="M331" s="65">
        <f t="shared" si="37"/>
        <v>4.7501148045649699E-3</v>
      </c>
      <c r="N331" s="163">
        <v>217</v>
      </c>
      <c r="O331" s="221">
        <f t="shared" si="38"/>
        <v>1</v>
      </c>
    </row>
    <row r="332" spans="4:15" x14ac:dyDescent="0.2">
      <c r="D332" s="86">
        <v>44186</v>
      </c>
      <c r="E332" s="64">
        <f t="shared" si="34"/>
        <v>5626</v>
      </c>
      <c r="F332" s="101">
        <v>5626</v>
      </c>
      <c r="G332" s="140"/>
      <c r="H332" s="64">
        <f>E332/'Erkrankungs- und Strukturdaten'!$C$7</f>
        <v>10229.090909090908</v>
      </c>
      <c r="I332" s="64">
        <f t="shared" si="35"/>
        <v>419150</v>
      </c>
      <c r="J332" s="64">
        <f t="shared" si="36"/>
        <v>0</v>
      </c>
      <c r="K332" s="101">
        <f>IFERROR(IF(D332=_Datum,Prognoseparameter!$C$14,
IF(_WachstumsrateKURZ="Bundesweit",IF(D332&gt;_Datum,
         K331+AVERAGE(F328:F331)*(1+_WR)*(1-(K331-VLOOKUP('Erkrankungs- und Strukturdaten'!$C$45,$D:$M,$K$1,FALSE))/$B$16),
         K333-$B$23*F333),
IF(D332&gt;_Datum,K331+G332,IF(G333="",K333/(K333^(1/N332)),K333-G333)))),"")</f>
        <v>0</v>
      </c>
      <c r="L332" s="64">
        <f>I332/'Erkrankungs- und Strukturdaten'!$C$7</f>
        <v>762090.90909090906</v>
      </c>
      <c r="M332" s="65">
        <f t="shared" si="37"/>
        <v>1.3605014461071183E-2</v>
      </c>
      <c r="N332" s="163">
        <v>217</v>
      </c>
      <c r="O332" s="221">
        <f t="shared" si="38"/>
        <v>1</v>
      </c>
    </row>
    <row r="333" spans="4:15" x14ac:dyDescent="0.2">
      <c r="D333" s="86">
        <v>44187</v>
      </c>
      <c r="E333" s="64">
        <f t="shared" si="34"/>
        <v>4601</v>
      </c>
      <c r="F333" s="101">
        <v>4601</v>
      </c>
      <c r="G333" s="140"/>
      <c r="H333" s="64">
        <f>E333/'Erkrankungs- und Strukturdaten'!$C$7</f>
        <v>8365.4545454545441</v>
      </c>
      <c r="I333" s="64">
        <f t="shared" si="35"/>
        <v>423751</v>
      </c>
      <c r="J333" s="64">
        <f t="shared" si="36"/>
        <v>0</v>
      </c>
      <c r="K333" s="101">
        <f>IFERROR(IF(D333=_Datum,Prognoseparameter!$C$14,
IF(_WachstumsrateKURZ="Bundesweit",IF(D333&gt;_Datum,
         K332+AVERAGE(F329:F332)*(1+_WR)*(1-(K332-VLOOKUP('Erkrankungs- und Strukturdaten'!$C$45,$D:$M,$K$1,FALSE))/$B$16),
         K334-$B$23*F334),
IF(D333&gt;_Datum,K332+G333,IF(G334="",K334/(K334^(1/N333)),K334-G334)))),"")</f>
        <v>0</v>
      </c>
      <c r="L333" s="64">
        <f>I333/'Erkrankungs- und Strukturdaten'!$C$7</f>
        <v>770456.36363636353</v>
      </c>
      <c r="M333" s="65">
        <f t="shared" si="37"/>
        <v>1.0976977215793868E-2</v>
      </c>
      <c r="N333" s="163">
        <v>217</v>
      </c>
      <c r="O333" s="221">
        <f t="shared" si="38"/>
        <v>1</v>
      </c>
    </row>
    <row r="334" spans="4:15" x14ac:dyDescent="0.2">
      <c r="D334" s="86">
        <v>44188</v>
      </c>
      <c r="E334" s="64">
        <f t="shared" si="34"/>
        <v>4474</v>
      </c>
      <c r="F334" s="101">
        <v>4474</v>
      </c>
      <c r="G334" s="140"/>
      <c r="H334" s="64">
        <f>E334/'Erkrankungs- und Strukturdaten'!$C$7</f>
        <v>8134.545454545454</v>
      </c>
      <c r="I334" s="64">
        <f t="shared" si="35"/>
        <v>428225</v>
      </c>
      <c r="J334" s="64">
        <f t="shared" si="36"/>
        <v>0</v>
      </c>
      <c r="K334" s="101">
        <f>IFERROR(IF(D334=_Datum,Prognoseparameter!$C$14,
IF(_WachstumsrateKURZ="Bundesweit",IF(D334&gt;_Datum,
         K333+AVERAGE(F330:F333)*(1+_WR)*(1-(K333-VLOOKUP('Erkrankungs- und Strukturdaten'!$C$45,$D:$M,$K$1,FALSE))/$B$16),
         K335-$B$23*F335),
IF(D334&gt;_Datum,K333+G334,IF(G335="",K335/(K335^(1/N334)),K335-G335)))),"")</f>
        <v>0</v>
      </c>
      <c r="L334" s="64">
        <f>I334/'Erkrankungs- und Strukturdaten'!$C$7</f>
        <v>778590.90909090906</v>
      </c>
      <c r="M334" s="65">
        <f t="shared" si="37"/>
        <v>1.0558087178555331E-2</v>
      </c>
      <c r="N334" s="163">
        <v>217</v>
      </c>
      <c r="O334" s="221">
        <f t="shared" si="38"/>
        <v>1</v>
      </c>
    </row>
    <row r="335" spans="4:15" x14ac:dyDescent="0.2">
      <c r="D335" s="86">
        <v>44189</v>
      </c>
      <c r="E335" s="64">
        <f t="shared" si="34"/>
        <v>3047</v>
      </c>
      <c r="F335" s="101">
        <v>3047</v>
      </c>
      <c r="G335" s="140"/>
      <c r="H335" s="64">
        <f>E335/'Erkrankungs- und Strukturdaten'!$C$7</f>
        <v>5540</v>
      </c>
      <c r="I335" s="64">
        <f t="shared" si="35"/>
        <v>431272</v>
      </c>
      <c r="J335" s="64">
        <f t="shared" si="36"/>
        <v>0</v>
      </c>
      <c r="K335" s="101">
        <f>IFERROR(IF(D335=_Datum,Prognoseparameter!$C$14,
IF(_WachstumsrateKURZ="Bundesweit",IF(D335&gt;_Datum,
         K334+AVERAGE(F331:F334)*(1+_WR)*(1-(K334-VLOOKUP('Erkrankungs- und Strukturdaten'!$C$45,$D:$M,$K$1,FALSE))/$B$16),
         K336-$B$23*F336),
IF(D335&gt;_Datum,K334+G335,IF(G336="",K336/(K336^(1/N335)),K336-G336)))),"")</f>
        <v>0</v>
      </c>
      <c r="L335" s="64">
        <f>I335/'Erkrankungs- und Strukturdaten'!$C$7</f>
        <v>784130.90909090906</v>
      </c>
      <c r="M335" s="65">
        <f t="shared" si="37"/>
        <v>7.1154182964563023E-3</v>
      </c>
      <c r="N335" s="163">
        <v>217</v>
      </c>
      <c r="O335" s="221">
        <f t="shared" si="38"/>
        <v>1</v>
      </c>
    </row>
    <row r="336" spans="4:15" x14ac:dyDescent="0.2">
      <c r="D336" s="86">
        <v>44190</v>
      </c>
      <c r="E336" s="64">
        <f t="shared" si="34"/>
        <v>1721</v>
      </c>
      <c r="F336" s="101">
        <v>1721</v>
      </c>
      <c r="G336" s="140"/>
      <c r="H336" s="64">
        <f>E336/'Erkrankungs- und Strukturdaten'!$C$7</f>
        <v>3129.090909090909</v>
      </c>
      <c r="I336" s="64">
        <f t="shared" si="35"/>
        <v>432993</v>
      </c>
      <c r="J336" s="64">
        <f t="shared" si="36"/>
        <v>0</v>
      </c>
      <c r="K336" s="101">
        <f>IFERROR(IF(D336=_Datum,Prognoseparameter!$C$14,
IF(_WachstumsrateKURZ="Bundesweit",IF(D336&gt;_Datum,
         K335+AVERAGE(F332:F335)*(1+_WR)*(1-(K335-VLOOKUP('Erkrankungs- und Strukturdaten'!$C$45,$D:$M,$K$1,FALSE))/$B$16),
         K337-$B$23*F337),
IF(D336&gt;_Datum,K335+G336,IF(G337="",K337/(K337^(1/N336)),K337-G337)))),"")</f>
        <v>0</v>
      </c>
      <c r="L336" s="64">
        <f>I336/'Erkrankungs- und Strukturdaten'!$C$7</f>
        <v>787259.99999999988</v>
      </c>
      <c r="M336" s="65">
        <f t="shared" si="37"/>
        <v>3.9905210632732941E-3</v>
      </c>
      <c r="N336" s="163">
        <v>217</v>
      </c>
      <c r="O336" s="221">
        <f t="shared" si="38"/>
        <v>1</v>
      </c>
    </row>
    <row r="337" spans="4:15" x14ac:dyDescent="0.2">
      <c r="D337" s="86">
        <v>44191</v>
      </c>
      <c r="E337" s="64">
        <f t="shared" si="34"/>
        <v>2355</v>
      </c>
      <c r="F337" s="101">
        <v>2355</v>
      </c>
      <c r="G337" s="140"/>
      <c r="H337" s="64">
        <f>E337/'Erkrankungs- und Strukturdaten'!$C$7</f>
        <v>4281.8181818181811</v>
      </c>
      <c r="I337" s="64">
        <f t="shared" si="35"/>
        <v>435348</v>
      </c>
      <c r="J337" s="64">
        <f t="shared" si="36"/>
        <v>0</v>
      </c>
      <c r="K337" s="101">
        <f>IFERROR(IF(D337=_Datum,Prognoseparameter!$C$14,
IF(_WachstumsrateKURZ="Bundesweit",IF(D337&gt;_Datum,
         K336+AVERAGE(F333:F336)*(1+_WR)*(1-(K336-VLOOKUP('Erkrankungs- und Strukturdaten'!$C$45,$D:$M,$K$1,FALSE))/$B$16),
         K338-$B$23*F338),
IF(D337&gt;_Datum,K336+G337,IF(G338="",K338/(K338^(1/N337)),K338-G338)))),"")</f>
        <v>0</v>
      </c>
      <c r="L337" s="64">
        <f>I337/'Erkrankungs- und Strukturdaten'!$C$7</f>
        <v>791541.81818181812</v>
      </c>
      <c r="M337" s="65">
        <f t="shared" si="37"/>
        <v>5.4388870027921926E-3</v>
      </c>
      <c r="N337" s="163">
        <v>217</v>
      </c>
      <c r="O337" s="221">
        <f t="shared" si="38"/>
        <v>1</v>
      </c>
    </row>
    <row r="338" spans="4:15" x14ac:dyDescent="0.2">
      <c r="D338" s="86">
        <v>44192</v>
      </c>
      <c r="E338" s="64">
        <f t="shared" si="34"/>
        <v>2114</v>
      </c>
      <c r="F338" s="101">
        <v>2114</v>
      </c>
      <c r="G338" s="140"/>
      <c r="H338" s="64">
        <f>E338/'Erkrankungs- und Strukturdaten'!$C$7</f>
        <v>3843.6363636363635</v>
      </c>
      <c r="I338" s="64">
        <f t="shared" si="35"/>
        <v>437462</v>
      </c>
      <c r="J338" s="64">
        <f t="shared" ref="J338:J342" si="39">J337+G338</f>
        <v>0</v>
      </c>
      <c r="K338" s="101">
        <f>IFERROR(IF(D338=_Datum,Prognoseparameter!$C$14,
IF(_WachstumsrateKURZ="Bundesweit",IF(D338&gt;_Datum,
         K337+AVERAGE(F334:F337)*(1+_WR)*(1-(K337-VLOOKUP('Erkrankungs- und Strukturdaten'!$C$45,$D:$M,$K$1,FALSE))/$B$16),
         K339-$B$23*F339),
IF(D338&gt;_Datum,K337+G338,IF(G339="",K339/(K339^(1/N338)),K339-G339)))),"")</f>
        <v>0</v>
      </c>
      <c r="L338" s="64">
        <f>I338/'Erkrankungs- und Strukturdaten'!$C$7</f>
        <v>795385.45454545447</v>
      </c>
      <c r="M338" s="65">
        <f t="shared" ref="M338:M342" si="40">IFERROR((I338-I337)/I337,0)</f>
        <v>4.8558854066172346E-3</v>
      </c>
      <c r="N338" s="163">
        <v>217</v>
      </c>
      <c r="O338" s="221">
        <f t="shared" ref="O338:O342" si="41">IF(F338=ROUNDDOWN(F338,0),1,0)</f>
        <v>1</v>
      </c>
    </row>
    <row r="339" spans="4:15" x14ac:dyDescent="0.2">
      <c r="D339" s="86">
        <v>44193</v>
      </c>
      <c r="E339" s="64">
        <f t="shared" si="34"/>
        <v>5032</v>
      </c>
      <c r="F339" s="101">
        <v>5032</v>
      </c>
      <c r="G339" s="140"/>
      <c r="H339" s="64">
        <f>E339/'Erkrankungs- und Strukturdaten'!$C$7</f>
        <v>9149.0909090909081</v>
      </c>
      <c r="I339" s="64">
        <f t="shared" si="35"/>
        <v>442494</v>
      </c>
      <c r="J339" s="64">
        <f t="shared" si="39"/>
        <v>0</v>
      </c>
      <c r="K339" s="101">
        <f>IFERROR(IF(D339=_Datum,Prognoseparameter!$C$14,
IF(_WachstumsrateKURZ="Bundesweit",IF(D339&gt;_Datum,
         K338+AVERAGE(F335:F338)*(1+_WR)*(1-(K338-VLOOKUP('Erkrankungs- und Strukturdaten'!$C$45,$D:$M,$K$1,FALSE))/$B$16),
         K340-$B$23*F340),
IF(D339&gt;_Datum,K338+G339,IF(G340="",K340/(K340^(1/N339)),K340-G340)))),"")</f>
        <v>0</v>
      </c>
      <c r="L339" s="64">
        <f>I339/'Erkrankungs- und Strukturdaten'!$C$7</f>
        <v>804534.54545454541</v>
      </c>
      <c r="M339" s="65">
        <f t="shared" si="40"/>
        <v>1.1502713378533451E-2</v>
      </c>
      <c r="N339" s="163">
        <v>217</v>
      </c>
      <c r="O339" s="221">
        <f t="shared" si="41"/>
        <v>1</v>
      </c>
    </row>
    <row r="340" spans="4:15" x14ac:dyDescent="0.2">
      <c r="D340" s="86">
        <v>44194</v>
      </c>
      <c r="E340" s="64">
        <f t="shared" si="34"/>
        <v>4462</v>
      </c>
      <c r="F340" s="101">
        <v>4462</v>
      </c>
      <c r="G340" s="140"/>
      <c r="H340" s="64">
        <f>E340/'Erkrankungs- und Strukturdaten'!$C$7</f>
        <v>8112.7272727272721</v>
      </c>
      <c r="I340" s="64">
        <f t="shared" si="35"/>
        <v>446956</v>
      </c>
      <c r="J340" s="64">
        <f t="shared" si="39"/>
        <v>0</v>
      </c>
      <c r="K340" s="101">
        <f>IFERROR(IF(D340=_Datum,Prognoseparameter!$C$14,
IF(_WachstumsrateKURZ="Bundesweit",IF(D340&gt;_Datum,
         K339+AVERAGE(F336:F339)*(1+_WR)*(1-(K339-VLOOKUP('Erkrankungs- und Strukturdaten'!$C$45,$D:$M,$K$1,FALSE))/$B$16),
         K341-$B$23*F341),
IF(D340&gt;_Datum,K339+G340,IF(G341="",K341/(K341^(1/N340)),K341-G341)))),"")</f>
        <v>0</v>
      </c>
      <c r="L340" s="64">
        <f>I340/'Erkrankungs- und Strukturdaten'!$C$7</f>
        <v>812647.27272727271</v>
      </c>
      <c r="M340" s="65">
        <f t="shared" si="40"/>
        <v>1.008375254805715E-2</v>
      </c>
      <c r="N340" s="163">
        <v>217</v>
      </c>
      <c r="O340" s="221">
        <f t="shared" si="41"/>
        <v>1</v>
      </c>
    </row>
    <row r="341" spans="4:15" x14ac:dyDescent="0.2">
      <c r="D341" s="86">
        <v>44195</v>
      </c>
      <c r="E341" s="64">
        <f t="shared" si="34"/>
        <v>4210</v>
      </c>
      <c r="F341" s="101">
        <v>4210</v>
      </c>
      <c r="G341" s="140"/>
      <c r="H341" s="64">
        <f>E341/'Erkrankungs- und Strukturdaten'!$C$7</f>
        <v>7654.545454545454</v>
      </c>
      <c r="I341" s="64">
        <f t="shared" si="35"/>
        <v>451166</v>
      </c>
      <c r="J341" s="64">
        <f t="shared" si="39"/>
        <v>0</v>
      </c>
      <c r="K341" s="101">
        <f>IFERROR(IF(D341=_Datum,Prognoseparameter!$C$14,
IF(_WachstumsrateKURZ="Bundesweit",IF(D341&gt;_Datum,
         K340+AVERAGE(F337:F340)*(1+_WR)*(1-(K340-VLOOKUP('Erkrankungs- und Strukturdaten'!$C$45,$D:$M,$K$1,FALSE))/$B$16),
         K342-$B$23*F342),
IF(D341&gt;_Datum,K340+G341,IF(G342="",K342/(K342^(1/N341)),K342-G342)))),"")</f>
        <v>0</v>
      </c>
      <c r="L341" s="64">
        <f>I341/'Erkrankungs- und Strukturdaten'!$C$7</f>
        <v>820301.81818181812</v>
      </c>
      <c r="M341" s="65">
        <f t="shared" si="40"/>
        <v>9.4192716956478933E-3</v>
      </c>
      <c r="N341" s="163">
        <v>217</v>
      </c>
      <c r="O341" s="221">
        <f t="shared" si="41"/>
        <v>1</v>
      </c>
    </row>
    <row r="342" spans="4:15" x14ac:dyDescent="0.2">
      <c r="D342" s="86">
        <v>44196</v>
      </c>
      <c r="E342" s="64">
        <f t="shared" si="34"/>
        <v>3054</v>
      </c>
      <c r="F342" s="101">
        <v>3054</v>
      </c>
      <c r="G342" s="140"/>
      <c r="H342" s="64">
        <f>E342/'Erkrankungs- und Strukturdaten'!$C$7</f>
        <v>5552.7272727272721</v>
      </c>
      <c r="I342" s="64">
        <f t="shared" si="35"/>
        <v>454220</v>
      </c>
      <c r="J342" s="64">
        <f t="shared" si="39"/>
        <v>0</v>
      </c>
      <c r="K342" s="101">
        <f>IFERROR(IF(D342=_Datum,Prognoseparameter!$C$14,
IF(_WachstumsrateKURZ="Bundesweit",IF(D342&gt;_Datum,
         K341+AVERAGE(F338:F341)*(1+_WR)*(1-(K341-VLOOKUP('Erkrankungs- und Strukturdaten'!$C$45,$D:$M,$K$1,FALSE))/$B$16),
         K343-$B$23*F343),
IF(D342&gt;_Datum,K341+G342,IF(G343="",K343/(K343^(1/N342)),K343-G343)))),"")</f>
        <v>0</v>
      </c>
      <c r="L342" s="64">
        <f>I342/'Erkrankungs- und Strukturdaten'!$C$7</f>
        <v>825854.54545454541</v>
      </c>
      <c r="M342" s="65">
        <f t="shared" si="40"/>
        <v>6.7691271062092443E-3</v>
      </c>
      <c r="N342" s="163">
        <v>217</v>
      </c>
      <c r="O342" s="221">
        <f t="shared" si="41"/>
        <v>1</v>
      </c>
    </row>
    <row r="343" spans="4:15" x14ac:dyDescent="0.2">
      <c r="D343" s="86">
        <v>44197</v>
      </c>
      <c r="E343" s="64">
        <f t="shared" si="34"/>
        <v>1679</v>
      </c>
      <c r="F343" s="101">
        <v>1679</v>
      </c>
      <c r="G343" s="140"/>
      <c r="H343" s="64">
        <f>E343/'Erkrankungs- und Strukturdaten'!$C$7</f>
        <v>3052.7272727272725</v>
      </c>
      <c r="I343" s="64">
        <f t="shared" si="35"/>
        <v>455899</v>
      </c>
      <c r="J343" s="64">
        <f t="shared" ref="J343:J406" si="42">J342+G343</f>
        <v>0</v>
      </c>
      <c r="K343" s="101">
        <f>IFERROR(IF(D343=_Datum,Prognoseparameter!$C$14,
IF(_WachstumsrateKURZ="Bundesweit",IF(D343&gt;_Datum,
         K342+AVERAGE(F339:F342)*(1+_WR)*(1-(K342-VLOOKUP('Erkrankungs- und Strukturdaten'!$C$45,$D:$M,$K$1,FALSE))/$B$16),
         K344-$B$23*F344),
IF(D343&gt;_Datum,K342+G343,IF(G344="",K344/(K344^(1/N343)),K344-G344)))),"")</f>
        <v>0</v>
      </c>
      <c r="L343" s="64">
        <f>I343/'Erkrankungs- und Strukturdaten'!$C$7</f>
        <v>828907.27272727271</v>
      </c>
      <c r="M343" s="65">
        <f t="shared" ref="M343:M406" si="43">IFERROR((I343-I342)/I342,0)</f>
        <v>3.6964466558055569E-3</v>
      </c>
      <c r="N343" s="163">
        <v>217</v>
      </c>
      <c r="O343" s="222">
        <f t="shared" ref="O343:O406" si="44">IF(F343=ROUNDDOWN(F343,0),1,0)</f>
        <v>1</v>
      </c>
    </row>
    <row r="344" spans="4:15" x14ac:dyDescent="0.2">
      <c r="D344" s="86">
        <v>44198</v>
      </c>
      <c r="E344" s="64">
        <f t="shared" si="34"/>
        <v>2718</v>
      </c>
      <c r="F344" s="101">
        <v>2718</v>
      </c>
      <c r="G344" s="140"/>
      <c r="H344" s="64">
        <f>E344/'Erkrankungs- und Strukturdaten'!$C$7</f>
        <v>4941.8181818181811</v>
      </c>
      <c r="I344" s="64">
        <f t="shared" si="35"/>
        <v>458617</v>
      </c>
      <c r="J344" s="64">
        <f t="shared" si="42"/>
        <v>0</v>
      </c>
      <c r="K344" s="101">
        <f>IFERROR(IF(D344=_Datum,Prognoseparameter!$C$14,
IF(_WachstumsrateKURZ="Bundesweit",IF(D344&gt;_Datum,
         K343+AVERAGE(F340:F343)*(1+_WR)*(1-(K343-VLOOKUP('Erkrankungs- und Strukturdaten'!$C$45,$D:$M,$K$1,FALSE))/$B$16),
         K345-$B$23*F345),
IF(D344&gt;_Datum,K343+G344,IF(G345="",K345/(K345^(1/N344)),K345-G345)))),"")</f>
        <v>0</v>
      </c>
      <c r="L344" s="64">
        <f>I344/'Erkrankungs- und Strukturdaten'!$C$7</f>
        <v>833849.09090909082</v>
      </c>
      <c r="M344" s="65">
        <f t="shared" si="43"/>
        <v>5.9618468125615543E-3</v>
      </c>
      <c r="N344" s="163">
        <v>217</v>
      </c>
      <c r="O344" s="222">
        <f t="shared" si="44"/>
        <v>1</v>
      </c>
    </row>
    <row r="345" spans="4:15" x14ac:dyDescent="0.2">
      <c r="D345" s="86">
        <v>44199</v>
      </c>
      <c r="E345" s="64">
        <f t="shared" si="34"/>
        <v>2218</v>
      </c>
      <c r="F345" s="101">
        <v>2218</v>
      </c>
      <c r="G345" s="140"/>
      <c r="H345" s="64">
        <f>E345/'Erkrankungs- und Strukturdaten'!$C$7</f>
        <v>4032.7272727272725</v>
      </c>
      <c r="I345" s="64">
        <f t="shared" si="35"/>
        <v>460835</v>
      </c>
      <c r="J345" s="64">
        <f t="shared" si="42"/>
        <v>0</v>
      </c>
      <c r="K345" s="101">
        <f>IFERROR(IF(D345=_Datum,Prognoseparameter!$C$14,
IF(_WachstumsrateKURZ="Bundesweit",IF(D345&gt;_Datum,
         K344+AVERAGE(F341:F344)*(1+_WR)*(1-(K344-VLOOKUP('Erkrankungs- und Strukturdaten'!$C$45,$D:$M,$K$1,FALSE))/$B$16),
         K346-$B$23*F346),
IF(D345&gt;_Datum,K344+G345,IF(G346="",K346/(K346^(1/N345)),K346-G346)))),"")</f>
        <v>0</v>
      </c>
      <c r="L345" s="64">
        <f>I345/'Erkrankungs- und Strukturdaten'!$C$7</f>
        <v>837881.81818181812</v>
      </c>
      <c r="M345" s="65">
        <f t="shared" si="43"/>
        <v>4.836279509917862E-3</v>
      </c>
      <c r="N345" s="163">
        <v>217</v>
      </c>
      <c r="O345" s="222">
        <f t="shared" si="44"/>
        <v>1</v>
      </c>
    </row>
    <row r="346" spans="4:15" x14ac:dyDescent="0.2">
      <c r="D346" s="86">
        <v>44200</v>
      </c>
      <c r="E346" s="64">
        <f t="shared" si="34"/>
        <v>5278</v>
      </c>
      <c r="F346" s="101">
        <v>5278</v>
      </c>
      <c r="G346" s="140"/>
      <c r="H346" s="64">
        <f>E346/'Erkrankungs- und Strukturdaten'!$C$7</f>
        <v>9596.363636363636</v>
      </c>
      <c r="I346" s="64">
        <f t="shared" si="35"/>
        <v>466113</v>
      </c>
      <c r="J346" s="64">
        <f t="shared" si="42"/>
        <v>0</v>
      </c>
      <c r="K346" s="101">
        <f>IFERROR(IF(D346=_Datum,Prognoseparameter!$C$14,
IF(_WachstumsrateKURZ="Bundesweit",IF(D346&gt;_Datum,
         K345+AVERAGE(F342:F345)*(1+_WR)*(1-(K345-VLOOKUP('Erkrankungs- und Strukturdaten'!$C$45,$D:$M,$K$1,FALSE))/$B$16),
         K347-$B$23*F347),
IF(D346&gt;_Datum,K345+G346,IF(G347="",K347/(K347^(1/N346)),K347-G347)))),"")</f>
        <v>0</v>
      </c>
      <c r="L346" s="64">
        <f>I346/'Erkrankungs- und Strukturdaten'!$C$7</f>
        <v>847478.18181818177</v>
      </c>
      <c r="M346" s="65">
        <f t="shared" si="43"/>
        <v>1.1453123135178534E-2</v>
      </c>
      <c r="N346" s="163">
        <v>217</v>
      </c>
      <c r="O346" s="222">
        <f t="shared" si="44"/>
        <v>1</v>
      </c>
    </row>
    <row r="347" spans="4:15" x14ac:dyDescent="0.2">
      <c r="D347" s="86">
        <v>44201</v>
      </c>
      <c r="E347" s="64">
        <f t="shared" si="34"/>
        <v>4164</v>
      </c>
      <c r="F347" s="101">
        <v>4164</v>
      </c>
      <c r="G347" s="140"/>
      <c r="H347" s="64">
        <f>E347/'Erkrankungs- und Strukturdaten'!$C$7</f>
        <v>7570.9090909090901</v>
      </c>
      <c r="I347" s="64">
        <f t="shared" si="35"/>
        <v>470277</v>
      </c>
      <c r="J347" s="64">
        <f t="shared" si="42"/>
        <v>0</v>
      </c>
      <c r="K347" s="101">
        <f>IFERROR(IF(D347=_Datum,Prognoseparameter!$C$14,
IF(_WachstumsrateKURZ="Bundesweit",IF(D347&gt;_Datum,
         K346+AVERAGE(F343:F346)*(1+_WR)*(1-(K346-VLOOKUP('Erkrankungs- und Strukturdaten'!$C$45,$D:$M,$K$1,FALSE))/$B$16),
         K348-$B$23*F348),
IF(D347&gt;_Datum,K346+G347,IF(G348="",K348/(K348^(1/N347)),K348-G348)))),"")</f>
        <v>0</v>
      </c>
      <c r="L347" s="64">
        <f>I347/'Erkrankungs- und Strukturdaten'!$C$7</f>
        <v>855049.09090909082</v>
      </c>
      <c r="M347" s="65">
        <f t="shared" si="43"/>
        <v>8.9334560503568881E-3</v>
      </c>
      <c r="N347" s="163">
        <v>217</v>
      </c>
      <c r="O347" s="222">
        <f t="shared" si="44"/>
        <v>1</v>
      </c>
    </row>
    <row r="348" spans="4:15" x14ac:dyDescent="0.2">
      <c r="D348" s="86">
        <v>44202</v>
      </c>
      <c r="E348" s="64">
        <f t="shared" si="34"/>
        <v>3348</v>
      </c>
      <c r="F348" s="101">
        <v>3348</v>
      </c>
      <c r="G348" s="140"/>
      <c r="H348" s="64">
        <f>E348/'Erkrankungs- und Strukturdaten'!$C$7</f>
        <v>6087.272727272727</v>
      </c>
      <c r="I348" s="64">
        <f t="shared" si="35"/>
        <v>473625</v>
      </c>
      <c r="J348" s="64">
        <f t="shared" si="42"/>
        <v>0</v>
      </c>
      <c r="K348" s="101">
        <f>IFERROR(IF(D348=_Datum,Prognoseparameter!$C$14,
IF(_WachstumsrateKURZ="Bundesweit",IF(D348&gt;_Datum,
         K347+AVERAGE(F344:F347)*(1+_WR)*(1-(K347-VLOOKUP('Erkrankungs- und Strukturdaten'!$C$45,$D:$M,$K$1,FALSE))/$B$16),
         K349-$B$23*F349),
IF(D348&gt;_Datum,K347+G348,IF(G349="",K349/(K349^(1/N348)),K349-G349)))),"")</f>
        <v>0</v>
      </c>
      <c r="L348" s="64">
        <f>I348/'Erkrankungs- und Strukturdaten'!$C$7</f>
        <v>861136.36363636353</v>
      </c>
      <c r="M348" s="65">
        <f t="shared" si="43"/>
        <v>7.119208466499531E-3</v>
      </c>
      <c r="N348" s="163">
        <v>217</v>
      </c>
      <c r="O348" s="222">
        <f t="shared" si="44"/>
        <v>1</v>
      </c>
    </row>
    <row r="349" spans="4:15" x14ac:dyDescent="0.2">
      <c r="D349" s="86">
        <v>44203</v>
      </c>
      <c r="E349" s="64">
        <f t="shared" si="34"/>
        <v>3176</v>
      </c>
      <c r="F349" s="101">
        <v>3176</v>
      </c>
      <c r="G349" s="140"/>
      <c r="H349" s="64">
        <f>E349/'Erkrankungs- und Strukturdaten'!$C$7</f>
        <v>5774.545454545454</v>
      </c>
      <c r="I349" s="64">
        <f t="shared" si="35"/>
        <v>476801</v>
      </c>
      <c r="J349" s="64">
        <f t="shared" si="42"/>
        <v>0</v>
      </c>
      <c r="K349" s="101">
        <f>IFERROR(IF(D349=_Datum,Prognoseparameter!$C$14,
IF(_WachstumsrateKURZ="Bundesweit",IF(D349&gt;_Datum,
         K348+AVERAGE(F345:F348)*(1+_WR)*(1-(K348-VLOOKUP('Erkrankungs- und Strukturdaten'!$C$45,$D:$M,$K$1,FALSE))/$B$16),
         K350-$B$23*F350),
IF(D349&gt;_Datum,K348+G349,IF(G350="",K350/(K350^(1/N349)),K350-G350)))),"")</f>
        <v>0</v>
      </c>
      <c r="L349" s="64">
        <f>I349/'Erkrankungs- und Strukturdaten'!$C$7</f>
        <v>866910.90909090906</v>
      </c>
      <c r="M349" s="65">
        <f t="shared" si="43"/>
        <v>6.7057271047769864E-3</v>
      </c>
      <c r="N349" s="163">
        <v>217</v>
      </c>
      <c r="O349" s="222">
        <f t="shared" si="44"/>
        <v>1</v>
      </c>
    </row>
    <row r="350" spans="4:15" x14ac:dyDescent="0.2">
      <c r="D350" s="86">
        <v>44204</v>
      </c>
      <c r="E350" s="64">
        <f t="shared" si="34"/>
        <v>3049</v>
      </c>
      <c r="F350" s="101">
        <v>3049</v>
      </c>
      <c r="G350" s="140"/>
      <c r="H350" s="64">
        <f>E350/'Erkrankungs- und Strukturdaten'!$C$7</f>
        <v>5543.6363636363631</v>
      </c>
      <c r="I350" s="64">
        <f t="shared" si="35"/>
        <v>479850</v>
      </c>
      <c r="J350" s="64">
        <f t="shared" si="42"/>
        <v>0</v>
      </c>
      <c r="K350" s="101">
        <f>IFERROR(IF(D350=_Datum,Prognoseparameter!$C$14,
IF(_WachstumsrateKURZ="Bundesweit",IF(D350&gt;_Datum,
         K349+AVERAGE(F346:F349)*(1+_WR)*(1-(K349-VLOOKUP('Erkrankungs- und Strukturdaten'!$C$45,$D:$M,$K$1,FALSE))/$B$16),
         K351-$B$23*F351),
IF(D350&gt;_Datum,K349+G350,IF(G351="",K351/(K351^(1/N350)),K351-G351)))),"")</f>
        <v>0</v>
      </c>
      <c r="L350" s="64">
        <f>I350/'Erkrankungs- und Strukturdaten'!$C$7</f>
        <v>872454.54545454541</v>
      </c>
      <c r="M350" s="65">
        <f t="shared" si="43"/>
        <v>6.3947013533948126E-3</v>
      </c>
      <c r="N350" s="163">
        <v>217</v>
      </c>
      <c r="O350" s="222">
        <f t="shared" si="44"/>
        <v>1</v>
      </c>
    </row>
    <row r="351" spans="4:15" x14ac:dyDescent="0.2">
      <c r="D351" s="86">
        <v>44205</v>
      </c>
      <c r="E351" s="64">
        <f t="shared" si="34"/>
        <v>1682</v>
      </c>
      <c r="F351" s="101">
        <v>1682</v>
      </c>
      <c r="G351" s="140"/>
      <c r="H351" s="64">
        <f>E351/'Erkrankungs- und Strukturdaten'!$C$7</f>
        <v>3058.181818181818</v>
      </c>
      <c r="I351" s="64">
        <f t="shared" si="35"/>
        <v>481532</v>
      </c>
      <c r="J351" s="64">
        <f t="shared" si="42"/>
        <v>0</v>
      </c>
      <c r="K351" s="101">
        <f>IFERROR(IF(D351=_Datum,Prognoseparameter!$C$14,
IF(_WachstumsrateKURZ="Bundesweit",IF(D351&gt;_Datum,
         K350+AVERAGE(F347:F350)*(1+_WR)*(1-(K350-VLOOKUP('Erkrankungs- und Strukturdaten'!$C$45,$D:$M,$K$1,FALSE))/$B$16),
         K352-$B$23*F352),
IF(D351&gt;_Datum,K350+G351,IF(G352="",K352/(K352^(1/N351)),K352-G352)))),"")</f>
        <v>0</v>
      </c>
      <c r="L351" s="64">
        <f>I351/'Erkrankungs- und Strukturdaten'!$C$7</f>
        <v>875512.72727272718</v>
      </c>
      <c r="M351" s="65">
        <f t="shared" si="43"/>
        <v>3.5052620610607483E-3</v>
      </c>
      <c r="N351" s="163">
        <v>217</v>
      </c>
      <c r="O351" s="222">
        <f t="shared" si="44"/>
        <v>1</v>
      </c>
    </row>
    <row r="352" spans="4:15" x14ac:dyDescent="0.2">
      <c r="D352" s="86">
        <v>44206</v>
      </c>
      <c r="E352" s="64">
        <f t="shared" si="34"/>
        <v>1293</v>
      </c>
      <c r="F352" s="101">
        <v>1293</v>
      </c>
      <c r="G352" s="140"/>
      <c r="H352" s="64">
        <f>E352/'Erkrankungs- und Strukturdaten'!$C$7</f>
        <v>2350.9090909090905</v>
      </c>
      <c r="I352" s="64">
        <f t="shared" si="35"/>
        <v>482825</v>
      </c>
      <c r="J352" s="64">
        <f t="shared" si="42"/>
        <v>0</v>
      </c>
      <c r="K352" s="101">
        <f>IFERROR(IF(D352=_Datum,Prognoseparameter!$C$14,
IF(_WachstumsrateKURZ="Bundesweit",IF(D352&gt;_Datum,
         K351+AVERAGE(F348:F351)*(1+_WR)*(1-(K351-VLOOKUP('Erkrankungs- und Strukturdaten'!$C$45,$D:$M,$K$1,FALSE))/$B$16),
         K353-$B$23*F353),
IF(D352&gt;_Datum,K351+G352,IF(G353="",K353/(K353^(1/N352)),K353-G353)))),"")</f>
        <v>0</v>
      </c>
      <c r="L352" s="64">
        <f>I352/'Erkrankungs- und Strukturdaten'!$C$7</f>
        <v>877863.63636363624</v>
      </c>
      <c r="M352" s="65">
        <f t="shared" si="43"/>
        <v>2.6851798011347117E-3</v>
      </c>
      <c r="N352" s="163">
        <v>217</v>
      </c>
      <c r="O352" s="222">
        <f t="shared" si="44"/>
        <v>1</v>
      </c>
    </row>
    <row r="353" spans="4:15" x14ac:dyDescent="0.2">
      <c r="D353" s="86">
        <v>44207</v>
      </c>
      <c r="E353" s="64">
        <f t="shared" si="34"/>
        <v>3459</v>
      </c>
      <c r="F353" s="101">
        <v>3459</v>
      </c>
      <c r="G353" s="140"/>
      <c r="H353" s="64">
        <f>E353/'Erkrankungs- und Strukturdaten'!$C$7</f>
        <v>6289.090909090909</v>
      </c>
      <c r="I353" s="64">
        <f t="shared" si="35"/>
        <v>486284</v>
      </c>
      <c r="J353" s="64">
        <f t="shared" si="42"/>
        <v>0</v>
      </c>
      <c r="K353" s="101">
        <f>IFERROR(IF(D353=_Datum,Prognoseparameter!$C$14,
IF(_WachstumsrateKURZ="Bundesweit",IF(D353&gt;_Datum,
         K352+AVERAGE(F349:F352)*(1+_WR)*(1-(K352-VLOOKUP('Erkrankungs- und Strukturdaten'!$C$45,$D:$M,$K$1,FALSE))/$B$16),
         K354-$B$23*F354),
IF(D353&gt;_Datum,K352+G353,IF(G354="",K354/(K354^(1/N353)),K354-G354)))),"")</f>
        <v>0</v>
      </c>
      <c r="L353" s="64">
        <f>I353/'Erkrankungs- und Strukturdaten'!$C$7</f>
        <v>884152.72727272718</v>
      </c>
      <c r="M353" s="65">
        <f t="shared" si="43"/>
        <v>7.1640863666960078E-3</v>
      </c>
      <c r="N353" s="163">
        <v>217</v>
      </c>
      <c r="O353" s="222">
        <f t="shared" si="44"/>
        <v>1</v>
      </c>
    </row>
    <row r="354" spans="4:15" x14ac:dyDescent="0.2">
      <c r="D354" s="86">
        <v>44208</v>
      </c>
      <c r="E354" s="64">
        <f t="shared" si="34"/>
        <v>2607</v>
      </c>
      <c r="F354" s="101">
        <v>2607</v>
      </c>
      <c r="G354" s="140"/>
      <c r="H354" s="64">
        <f>E354/'Erkrankungs- und Strukturdaten'!$C$7</f>
        <v>4740</v>
      </c>
      <c r="I354" s="64">
        <f t="shared" si="35"/>
        <v>488891</v>
      </c>
      <c r="J354" s="64">
        <f t="shared" si="42"/>
        <v>0</v>
      </c>
      <c r="K354" s="101">
        <f>IFERROR(IF(D354=_Datum,Prognoseparameter!$C$14,
IF(_WachstumsrateKURZ="Bundesweit",IF(D354&gt;_Datum,
         K353+AVERAGE(F350:F353)*(1+_WR)*(1-(K353-VLOOKUP('Erkrankungs- und Strukturdaten'!$C$45,$D:$M,$K$1,FALSE))/$B$16),
         K355-$B$23*F355),
IF(D354&gt;_Datum,K353+G354,IF(G355="",K355/(K355^(1/N354)),K355-G355)))),"")</f>
        <v>0</v>
      </c>
      <c r="L354" s="64">
        <f>I354/'Erkrankungs- und Strukturdaten'!$C$7</f>
        <v>888892.72727272718</v>
      </c>
      <c r="M354" s="65">
        <f t="shared" si="43"/>
        <v>5.3610647276077358E-3</v>
      </c>
      <c r="N354" s="163">
        <v>217</v>
      </c>
      <c r="O354" s="222">
        <f t="shared" si="44"/>
        <v>1</v>
      </c>
    </row>
    <row r="355" spans="4:15" x14ac:dyDescent="0.2">
      <c r="D355" s="86">
        <v>44209</v>
      </c>
      <c r="E355" s="64">
        <f t="shared" si="34"/>
        <v>2461</v>
      </c>
      <c r="F355" s="101">
        <v>2461</v>
      </c>
      <c r="G355" s="140"/>
      <c r="H355" s="64">
        <f>E355/'Erkrankungs- und Strukturdaten'!$C$7</f>
        <v>4474.545454545454</v>
      </c>
      <c r="I355" s="64">
        <f t="shared" si="35"/>
        <v>491352</v>
      </c>
      <c r="J355" s="64">
        <f t="shared" si="42"/>
        <v>0</v>
      </c>
      <c r="K355" s="101">
        <f>IFERROR(IF(D355=_Datum,Prognoseparameter!$C$14,
IF(_WachstumsrateKURZ="Bundesweit",IF(D355&gt;_Datum,
         K354+AVERAGE(F351:F354)*(1+_WR)*(1-(K354-VLOOKUP('Erkrankungs- und Strukturdaten'!$C$45,$D:$M,$K$1,FALSE))/$B$16),
         K356-$B$23*F356),
IF(D355&gt;_Datum,K354+G355,IF(G356="",K356/(K356^(1/N355)),K356-G356)))),"")</f>
        <v>0</v>
      </c>
      <c r="L355" s="64">
        <f>I355/'Erkrankungs- und Strukturdaten'!$C$7</f>
        <v>893367.27272727271</v>
      </c>
      <c r="M355" s="65">
        <f t="shared" si="43"/>
        <v>5.0338418993190713E-3</v>
      </c>
      <c r="N355" s="163">
        <v>217</v>
      </c>
      <c r="O355" s="222">
        <f t="shared" si="44"/>
        <v>1</v>
      </c>
    </row>
    <row r="356" spans="4:15" x14ac:dyDescent="0.2">
      <c r="D356" s="86">
        <v>44210</v>
      </c>
      <c r="E356" s="64">
        <f t="shared" si="34"/>
        <v>2239</v>
      </c>
      <c r="F356" s="101">
        <v>2239</v>
      </c>
      <c r="G356" s="140"/>
      <c r="H356" s="64">
        <f>E356/'Erkrankungs- und Strukturdaten'!$C$7</f>
        <v>4070.9090909090905</v>
      </c>
      <c r="I356" s="64">
        <f t="shared" si="35"/>
        <v>493591</v>
      </c>
      <c r="J356" s="64">
        <f t="shared" si="42"/>
        <v>0</v>
      </c>
      <c r="K356" s="101">
        <f>IFERROR(IF(D356=_Datum,Prognoseparameter!$C$14,
IF(_WachstumsrateKURZ="Bundesweit",IF(D356&gt;_Datum,
         K355+AVERAGE(F352:F355)*(1+_WR)*(1-(K355-VLOOKUP('Erkrankungs- und Strukturdaten'!$C$45,$D:$M,$K$1,FALSE))/$B$16),
         K357-$B$23*F357),
IF(D356&gt;_Datum,K355+G356,IF(G357="",K357/(K357^(1/N356)),K357-G357)))),"")</f>
        <v>0</v>
      </c>
      <c r="L356" s="64">
        <f>I356/'Erkrankungs- und Strukturdaten'!$C$7</f>
        <v>897438.18181818177</v>
      </c>
      <c r="M356" s="65">
        <f t="shared" si="43"/>
        <v>4.5568146664712872E-3</v>
      </c>
      <c r="N356" s="163">
        <v>217</v>
      </c>
      <c r="O356" s="222">
        <f t="shared" si="44"/>
        <v>1</v>
      </c>
    </row>
    <row r="357" spans="4:15" x14ac:dyDescent="0.2">
      <c r="D357" s="86">
        <v>44211</v>
      </c>
      <c r="E357" s="64">
        <f t="shared" si="34"/>
        <v>2159</v>
      </c>
      <c r="F357" s="101">
        <v>2159</v>
      </c>
      <c r="G357" s="140"/>
      <c r="H357" s="64">
        <f>E357/'Erkrankungs- und Strukturdaten'!$C$7</f>
        <v>3925.454545454545</v>
      </c>
      <c r="I357" s="64">
        <f t="shared" si="35"/>
        <v>495750</v>
      </c>
      <c r="J357" s="64">
        <f t="shared" si="42"/>
        <v>0</v>
      </c>
      <c r="K357" s="101">
        <f>IFERROR(IF(D357=_Datum,Prognoseparameter!$C$14,
IF(_WachstumsrateKURZ="Bundesweit",IF(D357&gt;_Datum,
         K356+AVERAGE(F353:F356)*(1+_WR)*(1-(K356-VLOOKUP('Erkrankungs- und Strukturdaten'!$C$45,$D:$M,$K$1,FALSE))/$B$16),
         K358-$B$23*F358),
IF(D357&gt;_Datum,K356+G357,IF(G358="",K358/(K358^(1/N357)),K358-G358)))),"")</f>
        <v>0</v>
      </c>
      <c r="L357" s="64">
        <f>I357/'Erkrankungs- und Strukturdaten'!$C$7</f>
        <v>901363.63636363624</v>
      </c>
      <c r="M357" s="65">
        <f t="shared" si="43"/>
        <v>4.3740667880897343E-3</v>
      </c>
      <c r="N357" s="163">
        <v>217</v>
      </c>
      <c r="O357" s="222">
        <f t="shared" si="44"/>
        <v>1</v>
      </c>
    </row>
    <row r="358" spans="4:15" x14ac:dyDescent="0.2">
      <c r="D358" s="86">
        <v>44212</v>
      </c>
      <c r="E358" s="64">
        <f t="shared" si="34"/>
        <v>1337</v>
      </c>
      <c r="F358" s="101">
        <v>1337</v>
      </c>
      <c r="G358" s="140"/>
      <c r="H358" s="64">
        <f>E358/'Erkrankungs- und Strukturdaten'!$C$7</f>
        <v>2430.9090909090905</v>
      </c>
      <c r="I358" s="64">
        <f t="shared" si="35"/>
        <v>497087</v>
      </c>
      <c r="J358" s="64">
        <f t="shared" si="42"/>
        <v>0</v>
      </c>
      <c r="K358" s="101">
        <f>IFERROR(IF(D358=_Datum,Prognoseparameter!$C$14,
IF(_WachstumsrateKURZ="Bundesweit",IF(D358&gt;_Datum,
         K357+AVERAGE(F354:F357)*(1+_WR)*(1-(K357-VLOOKUP('Erkrankungs- und Strukturdaten'!$C$45,$D:$M,$K$1,FALSE))/$B$16),
         K359-$B$23*F359),
IF(D358&gt;_Datum,K357+G358,IF(G359="",K359/(K359^(1/N358)),K359-G359)))),"")</f>
        <v>0</v>
      </c>
      <c r="L358" s="64">
        <f>I358/'Erkrankungs- und Strukturdaten'!$C$7</f>
        <v>903794.54545454541</v>
      </c>
      <c r="M358" s="65">
        <f t="shared" si="43"/>
        <v>2.696923852748361E-3</v>
      </c>
      <c r="N358" s="163">
        <v>217</v>
      </c>
      <c r="O358" s="222">
        <f t="shared" si="44"/>
        <v>1</v>
      </c>
    </row>
    <row r="359" spans="4:15" x14ac:dyDescent="0.2">
      <c r="D359" s="86">
        <v>44213</v>
      </c>
      <c r="E359" s="64">
        <f t="shared" si="34"/>
        <v>893</v>
      </c>
      <c r="F359" s="101">
        <v>893</v>
      </c>
      <c r="G359" s="140"/>
      <c r="H359" s="64">
        <f>E359/'Erkrankungs- und Strukturdaten'!$C$7</f>
        <v>1623.6363636363635</v>
      </c>
      <c r="I359" s="64">
        <f t="shared" si="35"/>
        <v>497980</v>
      </c>
      <c r="J359" s="64">
        <f t="shared" si="42"/>
        <v>0</v>
      </c>
      <c r="K359" s="101">
        <f>IFERROR(IF(D359=_Datum,Prognoseparameter!$C$14,
IF(_WachstumsrateKURZ="Bundesweit",IF(D359&gt;_Datum,
         K358+AVERAGE(F355:F358)*(1+_WR)*(1-(K358-VLOOKUP('Erkrankungs- und Strukturdaten'!$C$45,$D:$M,$K$1,FALSE))/$B$16),
         K360-$B$23*F360),
IF(D359&gt;_Datum,K358+G359,IF(G360="",K360/(K360^(1/N359)),K360-G360)))),"")</f>
        <v>0</v>
      </c>
      <c r="L359" s="64">
        <f>I359/'Erkrankungs- und Strukturdaten'!$C$7</f>
        <v>905418.18181818177</v>
      </c>
      <c r="M359" s="65">
        <f t="shared" si="43"/>
        <v>1.7964662121519976E-3</v>
      </c>
      <c r="N359" s="163">
        <v>217</v>
      </c>
      <c r="O359" s="222">
        <f t="shared" si="44"/>
        <v>1</v>
      </c>
    </row>
    <row r="360" spans="4:15" x14ac:dyDescent="0.2">
      <c r="D360" s="86">
        <v>44214</v>
      </c>
      <c r="E360" s="64">
        <f t="shared" si="34"/>
        <v>2946</v>
      </c>
      <c r="F360" s="101">
        <v>2946</v>
      </c>
      <c r="G360" s="140"/>
      <c r="H360" s="64">
        <f>E360/'Erkrankungs- und Strukturdaten'!$C$7</f>
        <v>5356.363636363636</v>
      </c>
      <c r="I360" s="64">
        <f t="shared" si="35"/>
        <v>500926</v>
      </c>
      <c r="J360" s="64">
        <f t="shared" si="42"/>
        <v>0</v>
      </c>
      <c r="K360" s="101">
        <f>IFERROR(IF(D360=_Datum,Prognoseparameter!$C$14,
IF(_WachstumsrateKURZ="Bundesweit",IF(D360&gt;_Datum,
         K359+AVERAGE(F356:F359)*(1+_WR)*(1-(K359-VLOOKUP('Erkrankungs- und Strukturdaten'!$C$45,$D:$M,$K$1,FALSE))/$B$16),
         K361-$B$23*F361),
IF(D360&gt;_Datum,K359+G360,IF(G361="",K361/(K361^(1/N360)),K361-G361)))),"")</f>
        <v>0</v>
      </c>
      <c r="L360" s="64">
        <f>I360/'Erkrankungs- und Strukturdaten'!$C$7</f>
        <v>910774.54545454541</v>
      </c>
      <c r="M360" s="65">
        <f t="shared" si="43"/>
        <v>5.9159002369573079E-3</v>
      </c>
      <c r="N360" s="163">
        <v>217</v>
      </c>
      <c r="O360" s="222">
        <f t="shared" si="44"/>
        <v>1</v>
      </c>
    </row>
    <row r="361" spans="4:15" x14ac:dyDescent="0.2">
      <c r="D361" s="86">
        <v>44215</v>
      </c>
      <c r="E361" s="64">
        <f t="shared" si="34"/>
        <v>2330</v>
      </c>
      <c r="F361" s="101">
        <v>2330</v>
      </c>
      <c r="G361" s="140"/>
      <c r="H361" s="64">
        <f>E361/'Erkrankungs- und Strukturdaten'!$C$7</f>
        <v>4236.363636363636</v>
      </c>
      <c r="I361" s="64">
        <f t="shared" si="35"/>
        <v>503256</v>
      </c>
      <c r="J361" s="64">
        <f t="shared" si="42"/>
        <v>0</v>
      </c>
      <c r="K361" s="101">
        <f>IFERROR(IF(D361=_Datum,Prognoseparameter!$C$14,
IF(_WachstumsrateKURZ="Bundesweit",IF(D361&gt;_Datum,
         K360+AVERAGE(F357:F360)*(1+_WR)*(1-(K360-VLOOKUP('Erkrankungs- und Strukturdaten'!$C$45,$D:$M,$K$1,FALSE))/$B$16),
         K362-$B$23*F362),
IF(D361&gt;_Datum,K360+G361,IF(G362="",K362/(K362^(1/N361)),K362-G362)))),"")</f>
        <v>0</v>
      </c>
      <c r="L361" s="64">
        <f>I361/'Erkrankungs- und Strukturdaten'!$C$7</f>
        <v>915010.90909090906</v>
      </c>
      <c r="M361" s="65">
        <f t="shared" si="43"/>
        <v>4.6513856338061908E-3</v>
      </c>
      <c r="N361" s="163">
        <v>217</v>
      </c>
      <c r="O361" s="222">
        <f t="shared" si="44"/>
        <v>1</v>
      </c>
    </row>
    <row r="362" spans="4:15" x14ac:dyDescent="0.2">
      <c r="D362" s="86">
        <v>44216</v>
      </c>
      <c r="E362" s="64">
        <f t="shared" si="34"/>
        <v>2279</v>
      </c>
      <c r="F362" s="101">
        <v>2279</v>
      </c>
      <c r="G362" s="140"/>
      <c r="H362" s="64">
        <f>E362/'Erkrankungs- und Strukturdaten'!$C$7</f>
        <v>4143.6363636363631</v>
      </c>
      <c r="I362" s="64">
        <f t="shared" si="35"/>
        <v>505535</v>
      </c>
      <c r="J362" s="64">
        <f t="shared" si="42"/>
        <v>0</v>
      </c>
      <c r="K362" s="101">
        <f>IFERROR(IF(D362=_Datum,Prognoseparameter!$C$14,
IF(_WachstumsrateKURZ="Bundesweit",IF(D362&gt;_Datum,
         K361+AVERAGE(F358:F361)*(1+_WR)*(1-(K361-VLOOKUP('Erkrankungs- und Strukturdaten'!$C$45,$D:$M,$K$1,FALSE))/$B$16),
         K363-$B$23*F363),
IF(D362&gt;_Datum,K361+G362,IF(G363="",K363/(K363^(1/N362)),K363-G363)))),"")</f>
        <v>0</v>
      </c>
      <c r="L362" s="64">
        <f>I362/'Erkrankungs- und Strukturdaten'!$C$7</f>
        <v>919154.54545454541</v>
      </c>
      <c r="M362" s="65">
        <f t="shared" si="43"/>
        <v>4.5285103406616112E-3</v>
      </c>
      <c r="N362" s="163">
        <v>217</v>
      </c>
      <c r="O362" s="222">
        <f t="shared" si="44"/>
        <v>1</v>
      </c>
    </row>
    <row r="363" spans="4:15" x14ac:dyDescent="0.2">
      <c r="D363" s="86">
        <v>44217</v>
      </c>
      <c r="E363" s="64">
        <f t="shared" si="34"/>
        <v>2055</v>
      </c>
      <c r="F363" s="101">
        <v>2055</v>
      </c>
      <c r="G363" s="140"/>
      <c r="H363" s="64">
        <f>E363/'Erkrankungs- und Strukturdaten'!$C$7</f>
        <v>3736.363636363636</v>
      </c>
      <c r="I363" s="64">
        <f t="shared" si="35"/>
        <v>507590</v>
      </c>
      <c r="J363" s="64">
        <f t="shared" si="42"/>
        <v>0</v>
      </c>
      <c r="K363" s="101">
        <f>IFERROR(IF(D363=_Datum,Prognoseparameter!$C$14,
IF(_WachstumsrateKURZ="Bundesweit",IF(D363&gt;_Datum,
         K362+AVERAGE(F359:F362)*(1+_WR)*(1-(K362-VLOOKUP('Erkrankungs- und Strukturdaten'!$C$45,$D:$M,$K$1,FALSE))/$B$16),
         K364-$B$23*F364),
IF(D363&gt;_Datum,K362+G363,IF(G364="",K364/(K364^(1/N363)),K364-G364)))),"")</f>
        <v>0</v>
      </c>
      <c r="L363" s="64">
        <f>I363/'Erkrankungs- und Strukturdaten'!$C$7</f>
        <v>922890.90909090906</v>
      </c>
      <c r="M363" s="65">
        <f t="shared" si="43"/>
        <v>4.0650004450730418E-3</v>
      </c>
      <c r="N363" s="163">
        <v>217</v>
      </c>
      <c r="O363" s="222">
        <f t="shared" si="44"/>
        <v>1</v>
      </c>
    </row>
    <row r="364" spans="4:15" x14ac:dyDescent="0.2">
      <c r="D364" s="86">
        <v>44218</v>
      </c>
      <c r="E364" s="64">
        <f t="shared" si="34"/>
        <v>2037</v>
      </c>
      <c r="F364" s="101">
        <v>2037</v>
      </c>
      <c r="G364" s="140"/>
      <c r="H364" s="64">
        <f>E364/'Erkrankungs- und Strukturdaten'!$C$7</f>
        <v>3703.6363636363635</v>
      </c>
      <c r="I364" s="64">
        <f t="shared" si="35"/>
        <v>509627</v>
      </c>
      <c r="J364" s="64">
        <f t="shared" si="42"/>
        <v>0</v>
      </c>
      <c r="K364" s="101">
        <f>IFERROR(IF(D364=_Datum,Prognoseparameter!$C$14,
IF(_WachstumsrateKURZ="Bundesweit",IF(D364&gt;_Datum,
         K363+AVERAGE(F360:F363)*(1+_WR)*(1-(K363-VLOOKUP('Erkrankungs- und Strukturdaten'!$C$45,$D:$M,$K$1,FALSE))/$B$16),
         K365-$B$23*F365),
IF(D364&gt;_Datum,K363+G364,IF(G365="",K365/(K365^(1/N364)),K365-G365)))),"")</f>
        <v>0</v>
      </c>
      <c r="L364" s="64">
        <f>I364/'Erkrankungs- und Strukturdaten'!$C$7</f>
        <v>926594.54545454541</v>
      </c>
      <c r="M364" s="65">
        <f t="shared" si="43"/>
        <v>4.0130814239839243E-3</v>
      </c>
      <c r="N364" s="163">
        <v>217</v>
      </c>
      <c r="O364" s="222">
        <f t="shared" si="44"/>
        <v>1</v>
      </c>
    </row>
    <row r="365" spans="4:15" x14ac:dyDescent="0.2">
      <c r="D365" s="86">
        <v>44219</v>
      </c>
      <c r="E365" s="64">
        <f t="shared" si="34"/>
        <v>1098</v>
      </c>
      <c r="F365" s="101">
        <v>1098</v>
      </c>
      <c r="G365" s="140"/>
      <c r="H365" s="64">
        <f>E365/'Erkrankungs- und Strukturdaten'!$C$7</f>
        <v>1996.3636363636363</v>
      </c>
      <c r="I365" s="64">
        <f t="shared" si="35"/>
        <v>510725</v>
      </c>
      <c r="J365" s="64">
        <f t="shared" si="42"/>
        <v>0</v>
      </c>
      <c r="K365" s="101">
        <f>IFERROR(IF(D365=_Datum,Prognoseparameter!$C$14,
IF(_WachstumsrateKURZ="Bundesweit",IF(D365&gt;_Datum,
         K364+AVERAGE(F361:F364)*(1+_WR)*(1-(K364-VLOOKUP('Erkrankungs- und Strukturdaten'!$C$45,$D:$M,$K$1,FALSE))/$B$16),
         K366-$B$23*F366),
IF(D365&gt;_Datum,K364+G365,IF(G366="",K366/(K366^(1/N365)),K366-G366)))),"")</f>
        <v>0</v>
      </c>
      <c r="L365" s="64">
        <f>I365/'Erkrankungs- und Strukturdaten'!$C$7</f>
        <v>928590.90909090906</v>
      </c>
      <c r="M365" s="65">
        <f t="shared" si="43"/>
        <v>2.154516931010327E-3</v>
      </c>
      <c r="N365" s="163">
        <v>217</v>
      </c>
      <c r="O365" s="222">
        <f t="shared" si="44"/>
        <v>1</v>
      </c>
    </row>
    <row r="366" spans="4:15" x14ac:dyDescent="0.2">
      <c r="D366" s="86">
        <v>44220</v>
      </c>
      <c r="E366" s="64">
        <f t="shared" si="34"/>
        <v>732</v>
      </c>
      <c r="F366" s="101">
        <v>732</v>
      </c>
      <c r="G366" s="140"/>
      <c r="H366" s="64">
        <f>E366/'Erkrankungs- und Strukturdaten'!$C$7</f>
        <v>1330.9090909090908</v>
      </c>
      <c r="I366" s="64">
        <f t="shared" si="35"/>
        <v>511457</v>
      </c>
      <c r="J366" s="64">
        <f t="shared" si="42"/>
        <v>0</v>
      </c>
      <c r="K366" s="101">
        <f>IFERROR(IF(D366=_Datum,Prognoseparameter!$C$14,
IF(_WachstumsrateKURZ="Bundesweit",IF(D366&gt;_Datum,
         K365+AVERAGE(F362:F365)*(1+_WR)*(1-(K365-VLOOKUP('Erkrankungs- und Strukturdaten'!$C$45,$D:$M,$K$1,FALSE))/$B$16),
         K367-$B$23*F367),
IF(D366&gt;_Datum,K365+G366,IF(G367="",K367/(K367^(1/N366)),K367-G367)))),"")</f>
        <v>0</v>
      </c>
      <c r="L366" s="64">
        <f>I366/'Erkrankungs- und Strukturdaten'!$C$7</f>
        <v>929921.81818181812</v>
      </c>
      <c r="M366" s="65">
        <f t="shared" si="43"/>
        <v>1.4332566449654902E-3</v>
      </c>
      <c r="N366" s="163">
        <v>217</v>
      </c>
      <c r="O366" s="222">
        <f t="shared" si="44"/>
        <v>1</v>
      </c>
    </row>
    <row r="367" spans="4:15" x14ac:dyDescent="0.2">
      <c r="D367" s="86">
        <v>44221</v>
      </c>
      <c r="E367" s="64">
        <f t="shared" si="34"/>
        <v>2490</v>
      </c>
      <c r="F367" s="101">
        <v>2490</v>
      </c>
      <c r="G367" s="140"/>
      <c r="H367" s="64">
        <f>E367/'Erkrankungs- und Strukturdaten'!$C$7</f>
        <v>4527.272727272727</v>
      </c>
      <c r="I367" s="64">
        <f t="shared" si="35"/>
        <v>513947</v>
      </c>
      <c r="J367" s="64">
        <f t="shared" si="42"/>
        <v>0</v>
      </c>
      <c r="K367" s="101">
        <f>IFERROR(IF(D367=_Datum,Prognoseparameter!$C$14,
IF(_WachstumsrateKURZ="Bundesweit",IF(D367&gt;_Datum,
         K366+AVERAGE(F363:F366)*(1+_WR)*(1-(K366-VLOOKUP('Erkrankungs- und Strukturdaten'!$C$45,$D:$M,$K$1,FALSE))/$B$16),
         K368-$B$23*F368),
IF(D367&gt;_Datum,K366+G367,IF(G368="",K368/(K368^(1/N367)),K368-G368)))),"")</f>
        <v>0</v>
      </c>
      <c r="L367" s="64">
        <f>I367/'Erkrankungs- und Strukturdaten'!$C$7</f>
        <v>934449.09090909082</v>
      </c>
      <c r="M367" s="65">
        <f t="shared" si="43"/>
        <v>4.8684444635619419E-3</v>
      </c>
      <c r="N367" s="163">
        <v>217</v>
      </c>
      <c r="O367" s="222">
        <f t="shared" si="44"/>
        <v>1</v>
      </c>
    </row>
    <row r="368" spans="4:15" x14ac:dyDescent="0.2">
      <c r="D368" s="86">
        <v>44222</v>
      </c>
      <c r="E368" s="64">
        <f t="shared" si="34"/>
        <v>1838</v>
      </c>
      <c r="F368" s="101">
        <v>1838</v>
      </c>
      <c r="G368" s="140"/>
      <c r="H368" s="64">
        <f>E368/'Erkrankungs- und Strukturdaten'!$C$7</f>
        <v>3341.8181818181815</v>
      </c>
      <c r="I368" s="64">
        <f t="shared" si="35"/>
        <v>515785</v>
      </c>
      <c r="J368" s="64">
        <f t="shared" si="42"/>
        <v>0</v>
      </c>
      <c r="K368" s="101">
        <f>IFERROR(IF(D368=_Datum,Prognoseparameter!$C$14,
IF(_WachstumsrateKURZ="Bundesweit",IF(D368&gt;_Datum,
         K367+AVERAGE(F364:F367)*(1+_WR)*(1-(K367-VLOOKUP('Erkrankungs- und Strukturdaten'!$C$45,$D:$M,$K$1,FALSE))/$B$16),
         K369-$B$23*F369),
IF(D368&gt;_Datum,K367+G368,IF(G369="",K369/(K369^(1/N368)),K369-G369)))),"")</f>
        <v>0</v>
      </c>
      <c r="L368" s="64">
        <f>I368/'Erkrankungs- und Strukturdaten'!$C$7</f>
        <v>937790.90909090906</v>
      </c>
      <c r="M368" s="65">
        <f t="shared" si="43"/>
        <v>3.5762442430834307E-3</v>
      </c>
      <c r="N368" s="163">
        <v>217</v>
      </c>
      <c r="O368" s="222">
        <f t="shared" si="44"/>
        <v>1</v>
      </c>
    </row>
    <row r="369" spans="4:15" x14ac:dyDescent="0.2">
      <c r="D369" s="86">
        <v>44223</v>
      </c>
      <c r="E369" s="64">
        <f t="shared" si="34"/>
        <v>1870</v>
      </c>
      <c r="F369" s="101">
        <v>1870</v>
      </c>
      <c r="G369" s="140"/>
      <c r="H369" s="64">
        <f>E369/'Erkrankungs- und Strukturdaten'!$C$7</f>
        <v>3399.9999999999995</v>
      </c>
      <c r="I369" s="64">
        <f t="shared" si="35"/>
        <v>517655</v>
      </c>
      <c r="J369" s="64">
        <f t="shared" si="42"/>
        <v>0</v>
      </c>
      <c r="K369" s="101">
        <f>IFERROR(IF(D369=_Datum,Prognoseparameter!$C$14,
IF(_WachstumsrateKURZ="Bundesweit",IF(D369&gt;_Datum,
         K368+AVERAGE(F365:F368)*(1+_WR)*(1-(K368-VLOOKUP('Erkrankungs- und Strukturdaten'!$C$45,$D:$M,$K$1,FALSE))/$B$16),
         K370-$B$23*F370),
IF(D369&gt;_Datum,K368+G369,IF(G370="",K370/(K370^(1/N369)),K370-G370)))),"")</f>
        <v>0</v>
      </c>
      <c r="L369" s="64">
        <f>I369/'Erkrankungs- und Strukturdaten'!$C$7</f>
        <v>941190.90909090906</v>
      </c>
      <c r="M369" s="65">
        <f t="shared" si="43"/>
        <v>3.625541650106149E-3</v>
      </c>
      <c r="N369" s="163">
        <v>217</v>
      </c>
      <c r="O369" s="222">
        <f t="shared" si="44"/>
        <v>1</v>
      </c>
    </row>
    <row r="370" spans="4:15" x14ac:dyDescent="0.2">
      <c r="D370" s="86">
        <v>44224</v>
      </c>
      <c r="E370" s="64">
        <f t="shared" si="34"/>
        <v>1780</v>
      </c>
      <c r="F370" s="101">
        <v>1780</v>
      </c>
      <c r="G370" s="140"/>
      <c r="H370" s="64">
        <f>E370/'Erkrankungs- und Strukturdaten'!$C$7</f>
        <v>3236.363636363636</v>
      </c>
      <c r="I370" s="64">
        <f t="shared" si="35"/>
        <v>519435</v>
      </c>
      <c r="J370" s="64">
        <f t="shared" si="42"/>
        <v>0</v>
      </c>
      <c r="K370" s="101">
        <f>IFERROR(IF(D370=_Datum,Prognoseparameter!$C$14,
IF(_WachstumsrateKURZ="Bundesweit",IF(D370&gt;_Datum,
         K369+AVERAGE(F366:F369)*(1+_WR)*(1-(K369-VLOOKUP('Erkrankungs- und Strukturdaten'!$C$45,$D:$M,$K$1,FALSE))/$B$16),
         K371-$B$23*F371),
IF(D370&gt;_Datum,K369+G370,IF(G371="",K371/(K371^(1/N370)),K371-G371)))),"")</f>
        <v>0</v>
      </c>
      <c r="L370" s="64">
        <f>I370/'Erkrankungs- und Strukturdaten'!$C$7</f>
        <v>944427.27272727271</v>
      </c>
      <c r="M370" s="65">
        <f t="shared" si="43"/>
        <v>3.4385836126377607E-3</v>
      </c>
      <c r="N370" s="163">
        <v>217</v>
      </c>
      <c r="O370" s="222">
        <f t="shared" si="44"/>
        <v>1</v>
      </c>
    </row>
    <row r="371" spans="4:15" x14ac:dyDescent="0.2">
      <c r="D371" s="86">
        <v>44225</v>
      </c>
      <c r="E371" s="64">
        <f t="shared" si="34"/>
        <v>1765</v>
      </c>
      <c r="F371" s="101">
        <v>1765</v>
      </c>
      <c r="G371" s="140"/>
      <c r="H371" s="64">
        <f>E371/'Erkrankungs- und Strukturdaten'!$C$7</f>
        <v>3209.090909090909</v>
      </c>
      <c r="I371" s="64">
        <f t="shared" si="35"/>
        <v>521200</v>
      </c>
      <c r="J371" s="64">
        <f t="shared" si="42"/>
        <v>0</v>
      </c>
      <c r="K371" s="101">
        <f>IFERROR(IF(D371=_Datum,Prognoseparameter!$C$14,
IF(_WachstumsrateKURZ="Bundesweit",IF(D371&gt;_Datum,
         K370+AVERAGE(F367:F370)*(1+_WR)*(1-(K370-VLOOKUP('Erkrankungs- und Strukturdaten'!$C$45,$D:$M,$K$1,FALSE))/$B$16),
         K372-$B$23*F372),
IF(D371&gt;_Datum,K370+G371,IF(G372="",K372/(K372^(1/N371)),K372-G372)))),"")</f>
        <v>0</v>
      </c>
      <c r="L371" s="64">
        <f>I371/'Erkrankungs- und Strukturdaten'!$C$7</f>
        <v>947636.36363636353</v>
      </c>
      <c r="M371" s="65">
        <f t="shared" si="43"/>
        <v>3.3979227429803537E-3</v>
      </c>
      <c r="N371" s="163">
        <v>217</v>
      </c>
      <c r="O371" s="222">
        <f t="shared" si="44"/>
        <v>1</v>
      </c>
    </row>
    <row r="372" spans="4:15" x14ac:dyDescent="0.2">
      <c r="D372" s="86">
        <v>44226</v>
      </c>
      <c r="E372" s="64">
        <f t="shared" si="34"/>
        <v>1019</v>
      </c>
      <c r="F372" s="101">
        <v>1019</v>
      </c>
      <c r="G372" s="140"/>
      <c r="H372" s="64">
        <f>E372/'Erkrankungs- und Strukturdaten'!$C$7</f>
        <v>1852.7272727272725</v>
      </c>
      <c r="I372" s="64">
        <f t="shared" si="35"/>
        <v>522219</v>
      </c>
      <c r="J372" s="64">
        <f t="shared" si="42"/>
        <v>0</v>
      </c>
      <c r="K372" s="101">
        <f>IFERROR(IF(D372=_Datum,Prognoseparameter!$C$14,
IF(_WachstumsrateKURZ="Bundesweit",IF(D372&gt;_Datum,
         K371+AVERAGE(F368:F371)*(1+_WR)*(1-(K371-VLOOKUP('Erkrankungs- und Strukturdaten'!$C$45,$D:$M,$K$1,FALSE))/$B$16),
         K373-$B$23*F373),
IF(D372&gt;_Datum,K371+G372,IF(G373="",K373/(K373^(1/N372)),K373-G373)))),"")</f>
        <v>0</v>
      </c>
      <c r="L372" s="64">
        <f>I372/'Erkrankungs- und Strukturdaten'!$C$7</f>
        <v>949489.09090909082</v>
      </c>
      <c r="M372" s="65">
        <f t="shared" si="43"/>
        <v>1.9551036070606293E-3</v>
      </c>
      <c r="N372" s="163">
        <v>217</v>
      </c>
      <c r="O372" s="222">
        <f t="shared" si="44"/>
        <v>1</v>
      </c>
    </row>
    <row r="373" spans="4:15" x14ac:dyDescent="0.2">
      <c r="D373" s="86">
        <v>44227</v>
      </c>
      <c r="E373" s="64">
        <f t="shared" si="34"/>
        <v>738</v>
      </c>
      <c r="F373" s="101">
        <v>738</v>
      </c>
      <c r="G373" s="140"/>
      <c r="H373" s="64">
        <f>E373/'Erkrankungs- und Strukturdaten'!$C$7</f>
        <v>1341.8181818181818</v>
      </c>
      <c r="I373" s="64">
        <f t="shared" si="35"/>
        <v>522957</v>
      </c>
      <c r="J373" s="64">
        <f t="shared" si="42"/>
        <v>0</v>
      </c>
      <c r="K373" s="101">
        <f>IFERROR(IF(D373=_Datum,Prognoseparameter!$C$14,
IF(_WachstumsrateKURZ="Bundesweit",IF(D373&gt;_Datum,
         K372+AVERAGE(F369:F372)*(1+_WR)*(1-(K372-VLOOKUP('Erkrankungs- und Strukturdaten'!$C$45,$D:$M,$K$1,FALSE))/$B$16),
         K374-$B$23*F374),
IF(D373&gt;_Datum,K372+G373,IF(G374="",K374/(K374^(1/N373)),K374-G374)))),"")</f>
        <v>0</v>
      </c>
      <c r="L373" s="64">
        <f>I373/'Erkrankungs- und Strukturdaten'!$C$7</f>
        <v>950830.90909090906</v>
      </c>
      <c r="M373" s="65">
        <f t="shared" si="43"/>
        <v>1.4132002091076733E-3</v>
      </c>
      <c r="N373" s="163">
        <v>217</v>
      </c>
      <c r="O373" s="222">
        <f t="shared" si="44"/>
        <v>1</v>
      </c>
    </row>
    <row r="374" spans="4:15" x14ac:dyDescent="0.2">
      <c r="D374" s="86">
        <v>44228</v>
      </c>
      <c r="E374" s="64">
        <f t="shared" si="34"/>
        <v>2162</v>
      </c>
      <c r="F374" s="101">
        <v>2162</v>
      </c>
      <c r="G374" s="140"/>
      <c r="H374" s="64">
        <f>E374/'Erkrankungs- und Strukturdaten'!$C$7</f>
        <v>3930.9090909090905</v>
      </c>
      <c r="I374" s="64">
        <f t="shared" si="35"/>
        <v>525119</v>
      </c>
      <c r="J374" s="64">
        <f t="shared" si="42"/>
        <v>0</v>
      </c>
      <c r="K374" s="101">
        <f>IFERROR(IF(D374=_Datum,Prognoseparameter!$C$14,
IF(_WachstumsrateKURZ="Bundesweit",IF(D374&gt;_Datum,
         K373+AVERAGE(F370:F373)*(1+_WR)*(1-(K373-VLOOKUP('Erkrankungs- und Strukturdaten'!$C$45,$D:$M,$K$1,FALSE))/$B$16),
         K375-$B$23*F375),
IF(D374&gt;_Datum,K373+G374,IF(G375="",K375/(K375^(1/N374)),K375-G375)))),"")</f>
        <v>0</v>
      </c>
      <c r="L374" s="64">
        <f>I374/'Erkrankungs- und Strukturdaten'!$C$7</f>
        <v>954761.81818181812</v>
      </c>
      <c r="M374" s="65">
        <f t="shared" si="43"/>
        <v>4.1341831163938907E-3</v>
      </c>
      <c r="N374" s="163">
        <v>217</v>
      </c>
      <c r="O374" s="222">
        <f t="shared" si="44"/>
        <v>1</v>
      </c>
    </row>
    <row r="375" spans="4:15" x14ac:dyDescent="0.2">
      <c r="D375" s="86">
        <v>44229</v>
      </c>
      <c r="E375" s="64">
        <f t="shared" si="34"/>
        <v>1650</v>
      </c>
      <c r="F375" s="101">
        <v>1650</v>
      </c>
      <c r="G375" s="140"/>
      <c r="H375" s="64">
        <f>E375/'Erkrankungs- und Strukturdaten'!$C$7</f>
        <v>2999.9999999999995</v>
      </c>
      <c r="I375" s="64">
        <f t="shared" si="35"/>
        <v>526769</v>
      </c>
      <c r="J375" s="64">
        <f t="shared" si="42"/>
        <v>0</v>
      </c>
      <c r="K375" s="101">
        <f>IFERROR(IF(D375=_Datum,Prognoseparameter!$C$14,
IF(_WachstumsrateKURZ="Bundesweit",IF(D375&gt;_Datum,
         K374+AVERAGE(F371:F374)*(1+_WR)*(1-(K374-VLOOKUP('Erkrankungs- und Strukturdaten'!$C$45,$D:$M,$K$1,FALSE))/$B$16),
         K376-$B$23*F376),
IF(D375&gt;_Datum,K374+G375,IF(G376="",K376/(K376^(1/N375)),K376-G376)))),"")</f>
        <v>0</v>
      </c>
      <c r="L375" s="64">
        <f>I375/'Erkrankungs- und Strukturdaten'!$C$7</f>
        <v>957761.81818181812</v>
      </c>
      <c r="M375" s="65">
        <f t="shared" si="43"/>
        <v>3.1421449233411856E-3</v>
      </c>
      <c r="N375" s="163">
        <v>217</v>
      </c>
      <c r="O375" s="222">
        <f t="shared" si="44"/>
        <v>1</v>
      </c>
    </row>
    <row r="376" spans="4:15" x14ac:dyDescent="0.2">
      <c r="D376" s="86">
        <v>44230</v>
      </c>
      <c r="E376" s="64">
        <f t="shared" si="34"/>
        <v>1730</v>
      </c>
      <c r="F376" s="101">
        <v>1730</v>
      </c>
      <c r="G376" s="140"/>
      <c r="H376" s="64">
        <f>E376/'Erkrankungs- und Strukturdaten'!$C$7</f>
        <v>3145.454545454545</v>
      </c>
      <c r="I376" s="64">
        <f t="shared" si="35"/>
        <v>528499</v>
      </c>
      <c r="J376" s="64">
        <f t="shared" si="42"/>
        <v>0</v>
      </c>
      <c r="K376" s="101">
        <f>IFERROR(IF(D376=_Datum,Prognoseparameter!$C$14,
IF(_WachstumsrateKURZ="Bundesweit",IF(D376&gt;_Datum,
         K375+AVERAGE(F372:F375)*(1+_WR)*(1-(K375-VLOOKUP('Erkrankungs- und Strukturdaten'!$C$45,$D:$M,$K$1,FALSE))/$B$16),
         K377-$B$23*F377),
IF(D376&gt;_Datum,K375+G376,IF(G377="",K377/(K377^(1/N376)),K377-G377)))),"")</f>
        <v>0</v>
      </c>
      <c r="L376" s="64">
        <f>I376/'Erkrankungs- und Strukturdaten'!$C$7</f>
        <v>960907.27272727271</v>
      </c>
      <c r="M376" s="65">
        <f t="shared" si="43"/>
        <v>3.2841719994912383E-3</v>
      </c>
      <c r="N376" s="163">
        <v>217</v>
      </c>
      <c r="O376" s="222">
        <f t="shared" si="44"/>
        <v>1</v>
      </c>
    </row>
    <row r="377" spans="4:15" x14ac:dyDescent="0.2">
      <c r="D377" s="86">
        <v>44231</v>
      </c>
      <c r="E377" s="64">
        <f t="shared" si="34"/>
        <v>1443</v>
      </c>
      <c r="F377" s="101">
        <v>1443</v>
      </c>
      <c r="G377" s="140"/>
      <c r="H377" s="64">
        <f>E377/'Erkrankungs- und Strukturdaten'!$C$7</f>
        <v>2623.6363636363635</v>
      </c>
      <c r="I377" s="64">
        <f t="shared" si="35"/>
        <v>529942</v>
      </c>
      <c r="J377" s="64">
        <f t="shared" si="42"/>
        <v>0</v>
      </c>
      <c r="K377" s="101">
        <f>IFERROR(IF(D377=_Datum,Prognoseparameter!$C$14,
IF(_WachstumsrateKURZ="Bundesweit",IF(D377&gt;_Datum,
         K376+AVERAGE(F373:F376)*(1+_WR)*(1-(K376-VLOOKUP('Erkrankungs- und Strukturdaten'!$C$45,$D:$M,$K$1,FALSE))/$B$16),
         K378-$B$23*F378),
IF(D377&gt;_Datum,K376+G377,IF(G378="",K378/(K378^(1/N377)),K378-G378)))),"")</f>
        <v>0</v>
      </c>
      <c r="L377" s="64">
        <f>I377/'Erkrankungs- und Strukturdaten'!$C$7</f>
        <v>963530.90909090906</v>
      </c>
      <c r="M377" s="65">
        <f t="shared" si="43"/>
        <v>2.7303741350503973E-3</v>
      </c>
      <c r="N377" s="163">
        <v>217</v>
      </c>
      <c r="O377" s="222">
        <f t="shared" si="44"/>
        <v>1</v>
      </c>
    </row>
    <row r="378" spans="4:15" x14ac:dyDescent="0.2">
      <c r="D378" s="86">
        <v>44232</v>
      </c>
      <c r="E378" s="64">
        <f t="shared" si="34"/>
        <v>1506</v>
      </c>
      <c r="F378" s="101">
        <v>1506</v>
      </c>
      <c r="G378" s="140"/>
      <c r="H378" s="64">
        <f>E378/'Erkrankungs- und Strukturdaten'!$C$7</f>
        <v>2738.181818181818</v>
      </c>
      <c r="I378" s="64">
        <f t="shared" si="35"/>
        <v>531448</v>
      </c>
      <c r="J378" s="64">
        <f t="shared" si="42"/>
        <v>0</v>
      </c>
      <c r="K378" s="101">
        <f>IFERROR(IF(D378=_Datum,Prognoseparameter!$C$14,
IF(_WachstumsrateKURZ="Bundesweit",IF(D378&gt;_Datum,
         K377+AVERAGE(F374:F377)*(1+_WR)*(1-(K377-VLOOKUP('Erkrankungs- und Strukturdaten'!$C$45,$D:$M,$K$1,FALSE))/$B$16),
         K379-$B$23*F379),
IF(D378&gt;_Datum,K377+G378,IF(G379="",K379/(K379^(1/N378)),K379-G379)))),"")</f>
        <v>0</v>
      </c>
      <c r="L378" s="64">
        <f>I378/'Erkrankungs- und Strukturdaten'!$C$7</f>
        <v>966269.09090909082</v>
      </c>
      <c r="M378" s="65">
        <f t="shared" si="43"/>
        <v>2.8418204256314842E-3</v>
      </c>
      <c r="N378" s="163">
        <v>217</v>
      </c>
      <c r="O378" s="222">
        <f t="shared" si="44"/>
        <v>1</v>
      </c>
    </row>
    <row r="379" spans="4:15" x14ac:dyDescent="0.2">
      <c r="D379" s="86">
        <v>44233</v>
      </c>
      <c r="E379" s="64">
        <f t="shared" si="34"/>
        <v>887</v>
      </c>
      <c r="F379" s="101">
        <v>887</v>
      </c>
      <c r="G379" s="140"/>
      <c r="H379" s="64">
        <f>E379/'Erkrankungs- und Strukturdaten'!$C$7</f>
        <v>1612.7272727272725</v>
      </c>
      <c r="I379" s="64">
        <f t="shared" si="35"/>
        <v>532335</v>
      </c>
      <c r="J379" s="64">
        <f t="shared" si="42"/>
        <v>0</v>
      </c>
      <c r="K379" s="101">
        <f>IFERROR(IF(D379=_Datum,Prognoseparameter!$C$14,
IF(_WachstumsrateKURZ="Bundesweit",IF(D379&gt;_Datum,
         K378+AVERAGE(F375:F378)*(1+_WR)*(1-(K378-VLOOKUP('Erkrankungs- und Strukturdaten'!$C$45,$D:$M,$K$1,FALSE))/$B$16),
         K380-$B$23*F380),
IF(D379&gt;_Datum,K378+G379,IF(G380="",K380/(K380^(1/N379)),K380-G380)))),"")</f>
        <v>0</v>
      </c>
      <c r="L379" s="64">
        <f>I379/'Erkrankungs- und Strukturdaten'!$C$7</f>
        <v>967881.81818181812</v>
      </c>
      <c r="M379" s="65">
        <f t="shared" si="43"/>
        <v>1.669025003386973E-3</v>
      </c>
      <c r="N379" s="163">
        <v>217</v>
      </c>
      <c r="O379" s="222">
        <f t="shared" si="44"/>
        <v>1</v>
      </c>
    </row>
    <row r="380" spans="4:15" x14ac:dyDescent="0.2">
      <c r="D380" s="86">
        <v>44234</v>
      </c>
      <c r="E380" s="64">
        <f t="shared" si="34"/>
        <v>673</v>
      </c>
      <c r="F380" s="101">
        <v>673</v>
      </c>
      <c r="G380" s="140"/>
      <c r="H380" s="64">
        <f>E380/'Erkrankungs- und Strukturdaten'!$C$7</f>
        <v>1223.6363636363635</v>
      </c>
      <c r="I380" s="64">
        <f t="shared" si="35"/>
        <v>533008</v>
      </c>
      <c r="J380" s="64">
        <f t="shared" si="42"/>
        <v>0</v>
      </c>
      <c r="K380" s="101">
        <f>IFERROR(IF(D380=_Datum,Prognoseparameter!$C$14,
IF(_WachstumsrateKURZ="Bundesweit",IF(D380&gt;_Datum,
         K379+AVERAGE(F376:F379)*(1+_WR)*(1-(K379-VLOOKUP('Erkrankungs- und Strukturdaten'!$C$45,$D:$M,$K$1,FALSE))/$B$16),
         K381-$B$23*F381),
IF(D380&gt;_Datum,K379+G380,IF(G381="",K381/(K381^(1/N380)),K381-G381)))),"")</f>
        <v>0</v>
      </c>
      <c r="L380" s="64">
        <f>I380/'Erkrankungs- und Strukturdaten'!$C$7</f>
        <v>969105.45454545447</v>
      </c>
      <c r="M380" s="65">
        <f t="shared" si="43"/>
        <v>1.2642415020616717E-3</v>
      </c>
      <c r="N380" s="163">
        <v>217</v>
      </c>
      <c r="O380" s="222">
        <f t="shared" si="44"/>
        <v>1</v>
      </c>
    </row>
    <row r="381" spans="4:15" x14ac:dyDescent="0.2">
      <c r="D381" s="86">
        <v>44235</v>
      </c>
      <c r="E381" s="64">
        <f t="shared" si="34"/>
        <v>1747</v>
      </c>
      <c r="F381" s="101">
        <v>1747</v>
      </c>
      <c r="G381" s="140"/>
      <c r="H381" s="64">
        <f>E381/'Erkrankungs- und Strukturdaten'!$C$7</f>
        <v>3176.363636363636</v>
      </c>
      <c r="I381" s="64">
        <f t="shared" si="35"/>
        <v>534755</v>
      </c>
      <c r="J381" s="64">
        <f t="shared" si="42"/>
        <v>0</v>
      </c>
      <c r="K381" s="101">
        <f>IFERROR(IF(D381=_Datum,Prognoseparameter!$C$14,
IF(_WachstumsrateKURZ="Bundesweit",IF(D381&gt;_Datum,
         K380+AVERAGE(F377:F380)*(1+_WR)*(1-(K380-VLOOKUP('Erkrankungs- und Strukturdaten'!$C$45,$D:$M,$K$1,FALSE))/$B$16),
         K382-$B$23*F382),
IF(D381&gt;_Datum,K380+G381,IF(G382="",K382/(K382^(1/N381)),K382-G382)))),"")</f>
        <v>0</v>
      </c>
      <c r="L381" s="64">
        <f>I381/'Erkrankungs- und Strukturdaten'!$C$7</f>
        <v>972281.81818181812</v>
      </c>
      <c r="M381" s="65">
        <f t="shared" si="43"/>
        <v>3.277624350854021E-3</v>
      </c>
      <c r="N381" s="163">
        <v>217</v>
      </c>
      <c r="O381" s="222">
        <f t="shared" si="44"/>
        <v>1</v>
      </c>
    </row>
    <row r="382" spans="4:15" x14ac:dyDescent="0.2">
      <c r="D382" s="86">
        <v>44236</v>
      </c>
      <c r="E382" s="64">
        <f t="shared" si="34"/>
        <v>1348</v>
      </c>
      <c r="F382" s="101">
        <v>1348</v>
      </c>
      <c r="G382" s="140"/>
      <c r="H382" s="64">
        <f>E382/'Erkrankungs- und Strukturdaten'!$C$7</f>
        <v>2450.9090909090905</v>
      </c>
      <c r="I382" s="64">
        <f t="shared" si="35"/>
        <v>536103</v>
      </c>
      <c r="J382" s="64">
        <f t="shared" si="42"/>
        <v>0</v>
      </c>
      <c r="K382" s="101">
        <f>IFERROR(IF(D382=_Datum,Prognoseparameter!$C$14,
IF(_WachstumsrateKURZ="Bundesweit",IF(D382&gt;_Datum,
         K381+AVERAGE(F378:F381)*(1+_WR)*(1-(K381-VLOOKUP('Erkrankungs- und Strukturdaten'!$C$45,$D:$M,$K$1,FALSE))/$B$16),
         K383-$B$23*F383),
IF(D382&gt;_Datum,K381+G382,IF(G383="",K383/(K383^(1/N382)),K383-G383)))),"")</f>
        <v>0</v>
      </c>
      <c r="L382" s="64">
        <f>I382/'Erkrankungs- und Strukturdaten'!$C$7</f>
        <v>974732.72727272718</v>
      </c>
      <c r="M382" s="65">
        <f t="shared" si="43"/>
        <v>2.5207805443614364E-3</v>
      </c>
      <c r="N382" s="163">
        <v>217</v>
      </c>
      <c r="O382" s="222">
        <f t="shared" si="44"/>
        <v>1</v>
      </c>
    </row>
    <row r="383" spans="4:15" x14ac:dyDescent="0.2">
      <c r="D383" s="86">
        <v>44237</v>
      </c>
      <c r="E383" s="64">
        <f t="shared" si="34"/>
        <v>1257</v>
      </c>
      <c r="F383" s="101">
        <v>1257</v>
      </c>
      <c r="G383" s="140"/>
      <c r="H383" s="64">
        <f>E383/'Erkrankungs- und Strukturdaten'!$C$7</f>
        <v>2285.4545454545455</v>
      </c>
      <c r="I383" s="64">
        <f t="shared" si="35"/>
        <v>537360</v>
      </c>
      <c r="J383" s="64">
        <f t="shared" si="42"/>
        <v>0</v>
      </c>
      <c r="K383" s="101">
        <f>IFERROR(IF(D383=_Datum,Prognoseparameter!$C$14,
IF(_WachstumsrateKURZ="Bundesweit",IF(D383&gt;_Datum,
         K382+AVERAGE(F379:F382)*(1+_WR)*(1-(K382-VLOOKUP('Erkrankungs- und Strukturdaten'!$C$45,$D:$M,$K$1,FALSE))/$B$16),
         K384-$B$23*F384),
IF(D383&gt;_Datum,K382+G383,IF(G384="",K384/(K384^(1/N383)),K384-G384)))),"")</f>
        <v>0</v>
      </c>
      <c r="L383" s="64">
        <f>I383/'Erkrankungs- und Strukturdaten'!$C$7</f>
        <v>977018.18181818177</v>
      </c>
      <c r="M383" s="65">
        <f t="shared" si="43"/>
        <v>2.3446986866329793E-3</v>
      </c>
      <c r="N383" s="163">
        <v>217</v>
      </c>
      <c r="O383" s="222">
        <f t="shared" si="44"/>
        <v>1</v>
      </c>
    </row>
    <row r="384" spans="4:15" x14ac:dyDescent="0.2">
      <c r="D384" s="86">
        <v>44238</v>
      </c>
      <c r="E384" s="64">
        <f t="shared" si="34"/>
        <v>1172</v>
      </c>
      <c r="F384" s="101">
        <v>1172</v>
      </c>
      <c r="G384" s="140"/>
      <c r="H384" s="64">
        <f>E384/'Erkrankungs- und Strukturdaten'!$C$7</f>
        <v>2130.9090909090905</v>
      </c>
      <c r="I384" s="64">
        <f t="shared" si="35"/>
        <v>538532</v>
      </c>
      <c r="J384" s="64">
        <f t="shared" si="42"/>
        <v>0</v>
      </c>
      <c r="K384" s="101">
        <f>IFERROR(IF(D384=_Datum,Prognoseparameter!$C$14,
IF(_WachstumsrateKURZ="Bundesweit",IF(D384&gt;_Datum,
         K383+AVERAGE(F380:F383)*(1+_WR)*(1-(K383-VLOOKUP('Erkrankungs- und Strukturdaten'!$C$45,$D:$M,$K$1,FALSE))/$B$16),
         K385-$B$23*F385),
IF(D384&gt;_Datum,K383+G384,IF(G385="",K385/(K385^(1/N384)),K385-G385)))),"")</f>
        <v>0</v>
      </c>
      <c r="L384" s="64">
        <f>I384/'Erkrankungs- und Strukturdaten'!$C$7</f>
        <v>979149.09090909082</v>
      </c>
      <c r="M384" s="65">
        <f t="shared" si="43"/>
        <v>2.1810331993449457E-3</v>
      </c>
      <c r="N384" s="163">
        <v>217</v>
      </c>
      <c r="O384" s="222">
        <f t="shared" si="44"/>
        <v>1</v>
      </c>
    </row>
    <row r="385" spans="4:15" x14ac:dyDescent="0.2">
      <c r="D385" s="86">
        <v>44239</v>
      </c>
      <c r="E385" s="64">
        <f t="shared" si="34"/>
        <v>1131</v>
      </c>
      <c r="F385" s="101">
        <v>1131</v>
      </c>
      <c r="G385" s="140"/>
      <c r="H385" s="64">
        <f>E385/'Erkrankungs- und Strukturdaten'!$C$7</f>
        <v>2056.363636363636</v>
      </c>
      <c r="I385" s="64">
        <f t="shared" si="35"/>
        <v>539663</v>
      </c>
      <c r="J385" s="64">
        <f t="shared" si="42"/>
        <v>0</v>
      </c>
      <c r="K385" s="101">
        <f>IFERROR(IF(D385=_Datum,Prognoseparameter!$C$14,
IF(_WachstumsrateKURZ="Bundesweit",IF(D385&gt;_Datum,
         K384+AVERAGE(F381:F384)*(1+_WR)*(1-(K384-VLOOKUP('Erkrankungs- und Strukturdaten'!$C$45,$D:$M,$K$1,FALSE))/$B$16),
         K386-$B$23*F386),
IF(D385&gt;_Datum,K384+G385,IF(G386="",K386/(K386^(1/N385)),K386-G386)))),"")</f>
        <v>0</v>
      </c>
      <c r="L385" s="64">
        <f>I385/'Erkrankungs- und Strukturdaten'!$C$7</f>
        <v>981205.45454545447</v>
      </c>
      <c r="M385" s="65">
        <f t="shared" si="43"/>
        <v>2.1001537513091143E-3</v>
      </c>
      <c r="N385" s="163">
        <v>217</v>
      </c>
      <c r="O385" s="222">
        <f t="shared" si="44"/>
        <v>1</v>
      </c>
    </row>
    <row r="386" spans="4:15" x14ac:dyDescent="0.2">
      <c r="D386" s="86">
        <v>44240</v>
      </c>
      <c r="E386" s="64">
        <f t="shared" si="34"/>
        <v>718</v>
      </c>
      <c r="F386" s="101">
        <v>718</v>
      </c>
      <c r="G386" s="140"/>
      <c r="H386" s="64">
        <f>E386/'Erkrankungs- und Strukturdaten'!$C$7</f>
        <v>1305.4545454545453</v>
      </c>
      <c r="I386" s="64">
        <f t="shared" si="35"/>
        <v>540381</v>
      </c>
      <c r="J386" s="64">
        <f t="shared" si="42"/>
        <v>0</v>
      </c>
      <c r="K386" s="101">
        <f>IFERROR(IF(D386=_Datum,Prognoseparameter!$C$14,
IF(_WachstumsrateKURZ="Bundesweit",IF(D386&gt;_Datum,
         K385+AVERAGE(F382:F385)*(1+_WR)*(1-(K385-VLOOKUP('Erkrankungs- und Strukturdaten'!$C$45,$D:$M,$K$1,FALSE))/$B$16),
         K387-$B$23*F387),
IF(D386&gt;_Datum,K385+G386,IF(G387="",K387/(K387^(1/N386)),K387-G387)))),"")</f>
        <v>0</v>
      </c>
      <c r="L386" s="64">
        <f>I386/'Erkrankungs- und Strukturdaten'!$C$7</f>
        <v>982510.90909090906</v>
      </c>
      <c r="M386" s="65">
        <f t="shared" si="43"/>
        <v>1.3304599351817708E-3</v>
      </c>
      <c r="N386" s="163">
        <v>217</v>
      </c>
      <c r="O386" s="222">
        <f t="shared" si="44"/>
        <v>1</v>
      </c>
    </row>
    <row r="387" spans="4:15" x14ac:dyDescent="0.2">
      <c r="D387" s="86">
        <v>44241</v>
      </c>
      <c r="E387" s="64">
        <f t="shared" si="34"/>
        <v>483</v>
      </c>
      <c r="F387" s="101">
        <v>483</v>
      </c>
      <c r="G387" s="140"/>
      <c r="H387" s="64">
        <f>E387/'Erkrankungs- und Strukturdaten'!$C$7</f>
        <v>878.18181818181813</v>
      </c>
      <c r="I387" s="64">
        <f t="shared" si="35"/>
        <v>540864</v>
      </c>
      <c r="J387" s="64">
        <f t="shared" si="42"/>
        <v>0</v>
      </c>
      <c r="K387" s="101">
        <f>IFERROR(IF(D387=_Datum,Prognoseparameter!$C$14,
IF(_WachstumsrateKURZ="Bundesweit",IF(D387&gt;_Datum,
         K386+AVERAGE(F383:F386)*(1+_WR)*(1-(K386-VLOOKUP('Erkrankungs- und Strukturdaten'!$C$45,$D:$M,$K$1,FALSE))/$B$16),
         K388-$B$23*F388),
IF(D387&gt;_Datum,K386+G387,IF(G388="",K388/(K388^(1/N387)),K388-G388)))),"")</f>
        <v>0</v>
      </c>
      <c r="L387" s="64">
        <f>I387/'Erkrankungs- und Strukturdaten'!$C$7</f>
        <v>983389.09090909082</v>
      </c>
      <c r="M387" s="65">
        <f t="shared" si="43"/>
        <v>8.9381380914576941E-4</v>
      </c>
      <c r="N387" s="163">
        <v>217</v>
      </c>
      <c r="O387" s="222">
        <f t="shared" si="44"/>
        <v>1</v>
      </c>
    </row>
    <row r="388" spans="4:15" x14ac:dyDescent="0.2">
      <c r="D388" s="86">
        <v>44242</v>
      </c>
      <c r="E388" s="64">
        <f t="shared" ref="E388:E451" si="45">IF(_AusgangswertKURZ="Bevölkerungsanteil",
$B$26*IF(F388=ROUNDDOWN(F388,0),F388,F388*VLOOKUP(WEEKDAY($D388,1),$A$51:$B$57,$B$1,FALSE)),
$B$17*IF(G388=ROUNDDOWN(G388,0),G388,G388*VLOOKUP(WEEKDAY($D388,1),$A$51:$B$57,$B$1,FALSE)))</f>
        <v>1306</v>
      </c>
      <c r="F388" s="101">
        <v>1306</v>
      </c>
      <c r="G388" s="140"/>
      <c r="H388" s="64">
        <f>E388/'Erkrankungs- und Strukturdaten'!$C$7</f>
        <v>2374.5454545454545</v>
      </c>
      <c r="I388" s="64">
        <f t="shared" si="35"/>
        <v>542170</v>
      </c>
      <c r="J388" s="64">
        <f t="shared" si="42"/>
        <v>0</v>
      </c>
      <c r="K388" s="101">
        <f>IFERROR(IF(D388=_Datum,Prognoseparameter!$C$14,
IF(_WachstumsrateKURZ="Bundesweit",IF(D388&gt;_Datum,
         K387+AVERAGE(F384:F387)*(1+_WR)*(1-(K387-VLOOKUP('Erkrankungs- und Strukturdaten'!$C$45,$D:$M,$K$1,FALSE))/$B$16),
         K389-$B$23*F389),
IF(D388&gt;_Datum,K387+G388,IF(G389="",K389/(K389^(1/N388)),K389-G389)))),"")</f>
        <v>0</v>
      </c>
      <c r="L388" s="64">
        <f>I388/'Erkrankungs- und Strukturdaten'!$C$7</f>
        <v>985763.63636363624</v>
      </c>
      <c r="M388" s="65">
        <f t="shared" si="43"/>
        <v>2.414655070405869E-3</v>
      </c>
      <c r="N388" s="163">
        <v>217</v>
      </c>
      <c r="O388" s="222">
        <f t="shared" si="44"/>
        <v>1</v>
      </c>
    </row>
    <row r="389" spans="4:15" x14ac:dyDescent="0.2">
      <c r="D389" s="86">
        <v>44243</v>
      </c>
      <c r="E389" s="64">
        <f t="shared" si="45"/>
        <v>1139</v>
      </c>
      <c r="F389" s="101">
        <v>1139</v>
      </c>
      <c r="G389" s="140"/>
      <c r="H389" s="64">
        <f>E389/'Erkrankungs- und Strukturdaten'!$C$7</f>
        <v>2070.9090909090905</v>
      </c>
      <c r="I389" s="64">
        <f t="shared" si="35"/>
        <v>543309</v>
      </c>
      <c r="J389" s="64">
        <f t="shared" si="42"/>
        <v>0</v>
      </c>
      <c r="K389" s="101">
        <f>IFERROR(IF(D389=_Datum,Prognoseparameter!$C$14,
IF(_WachstumsrateKURZ="Bundesweit",IF(D389&gt;_Datum,
         K388+AVERAGE(F385:F388)*(1+_WR)*(1-(K388-VLOOKUP('Erkrankungs- und Strukturdaten'!$C$45,$D:$M,$K$1,FALSE))/$B$16),
         K390-$B$23*F390),
IF(D389&gt;_Datum,K388+G389,IF(G390="",K390/(K390^(1/N389)),K390-G390)))),"")</f>
        <v>0</v>
      </c>
      <c r="L389" s="64">
        <f>I389/'Erkrankungs- und Strukturdaten'!$C$7</f>
        <v>987834.54545454541</v>
      </c>
      <c r="M389" s="65">
        <f t="shared" si="43"/>
        <v>2.1008170868915652E-3</v>
      </c>
      <c r="N389" s="163">
        <v>217</v>
      </c>
      <c r="O389" s="222">
        <f t="shared" si="44"/>
        <v>1</v>
      </c>
    </row>
    <row r="390" spans="4:15" x14ac:dyDescent="0.2">
      <c r="D390" s="86">
        <v>44244</v>
      </c>
      <c r="E390" s="64">
        <f t="shared" si="45"/>
        <v>1216</v>
      </c>
      <c r="F390" s="101">
        <v>1216</v>
      </c>
      <c r="G390" s="140"/>
      <c r="H390" s="64">
        <f>E390/'Erkrankungs- und Strukturdaten'!$C$7</f>
        <v>2210.9090909090905</v>
      </c>
      <c r="I390" s="64">
        <f t="shared" ref="I390:I453" si="46">I389+F390</f>
        <v>544525</v>
      </c>
      <c r="J390" s="64">
        <f t="shared" si="42"/>
        <v>0</v>
      </c>
      <c r="K390" s="101">
        <f>IFERROR(IF(D390=_Datum,Prognoseparameter!$C$14,
IF(_WachstumsrateKURZ="Bundesweit",IF(D390&gt;_Datum,
         K389+AVERAGE(F386:F389)*(1+_WR)*(1-(K389-VLOOKUP('Erkrankungs- und Strukturdaten'!$C$45,$D:$M,$K$1,FALSE))/$B$16),
         K391-$B$23*F391),
IF(D390&gt;_Datum,K389+G390,IF(G391="",K391/(K391^(1/N390)),K391-G391)))),"")</f>
        <v>0</v>
      </c>
      <c r="L390" s="64">
        <f>I390/'Erkrankungs- und Strukturdaten'!$C$7</f>
        <v>990045.45454545447</v>
      </c>
      <c r="M390" s="65">
        <f t="shared" si="43"/>
        <v>2.2381370454014199E-3</v>
      </c>
      <c r="N390" s="163">
        <v>217</v>
      </c>
      <c r="O390" s="222">
        <f t="shared" si="44"/>
        <v>1</v>
      </c>
    </row>
    <row r="391" spans="4:15" x14ac:dyDescent="0.2">
      <c r="D391" s="86">
        <v>44245</v>
      </c>
      <c r="E391" s="64">
        <f t="shared" si="45"/>
        <v>1005</v>
      </c>
      <c r="F391" s="101">
        <v>1005</v>
      </c>
      <c r="G391" s="140"/>
      <c r="H391" s="64">
        <f>E391/'Erkrankungs- und Strukturdaten'!$C$7</f>
        <v>1827.272727272727</v>
      </c>
      <c r="I391" s="64">
        <f t="shared" si="46"/>
        <v>545530</v>
      </c>
      <c r="J391" s="64">
        <f t="shared" si="42"/>
        <v>0</v>
      </c>
      <c r="K391" s="101">
        <f>IFERROR(IF(D391=_Datum,Prognoseparameter!$C$14,
IF(_WachstumsrateKURZ="Bundesweit",IF(D391&gt;_Datum,
         K390+AVERAGE(F387:F390)*(1+_WR)*(1-(K390-VLOOKUP('Erkrankungs- und Strukturdaten'!$C$45,$D:$M,$K$1,FALSE))/$B$16),
         K392-$B$23*F392),
IF(D391&gt;_Datum,K390+G391,IF(G392="",K392/(K392^(1/N391)),K392-G392)))),"")</f>
        <v>0</v>
      </c>
      <c r="L391" s="64">
        <f>I391/'Erkrankungs- und Strukturdaten'!$C$7</f>
        <v>991872.72727272718</v>
      </c>
      <c r="M391" s="65">
        <f t="shared" si="43"/>
        <v>1.8456452871768972E-3</v>
      </c>
      <c r="N391" s="163">
        <v>217</v>
      </c>
      <c r="O391" s="222">
        <f t="shared" si="44"/>
        <v>1</v>
      </c>
    </row>
    <row r="392" spans="4:15" x14ac:dyDescent="0.2">
      <c r="D392" s="86">
        <v>44246</v>
      </c>
      <c r="E392" s="64">
        <f t="shared" si="45"/>
        <v>1095</v>
      </c>
      <c r="F392" s="101">
        <v>1095</v>
      </c>
      <c r="G392" s="140"/>
      <c r="H392" s="64">
        <f>E392/'Erkrankungs- und Strukturdaten'!$C$7</f>
        <v>1990.9090909090908</v>
      </c>
      <c r="I392" s="64">
        <f t="shared" si="46"/>
        <v>546625</v>
      </c>
      <c r="J392" s="64">
        <f t="shared" si="42"/>
        <v>0</v>
      </c>
      <c r="K392" s="101">
        <f>IFERROR(IF(D392=_Datum,Prognoseparameter!$C$14,
IF(_WachstumsrateKURZ="Bundesweit",IF(D392&gt;_Datum,
         K391+AVERAGE(F388:F391)*(1+_WR)*(1-(K391-VLOOKUP('Erkrankungs- und Strukturdaten'!$C$45,$D:$M,$K$1,FALSE))/$B$16),
         K393-$B$23*F393),
IF(D392&gt;_Datum,K391+G392,IF(G393="",K393/(K393^(1/N392)),K393-G393)))),"")</f>
        <v>0</v>
      </c>
      <c r="L392" s="64">
        <f>I392/'Erkrankungs- und Strukturdaten'!$C$7</f>
        <v>993863.63636363624</v>
      </c>
      <c r="M392" s="65">
        <f t="shared" si="43"/>
        <v>2.0072223342437628E-3</v>
      </c>
      <c r="N392" s="163">
        <v>217</v>
      </c>
      <c r="O392" s="222">
        <f t="shared" si="44"/>
        <v>1</v>
      </c>
    </row>
    <row r="393" spans="4:15" x14ac:dyDescent="0.2">
      <c r="D393" s="86">
        <v>44247</v>
      </c>
      <c r="E393" s="64">
        <f t="shared" si="45"/>
        <v>692</v>
      </c>
      <c r="F393" s="101">
        <v>692</v>
      </c>
      <c r="G393" s="140"/>
      <c r="H393" s="64">
        <f>E393/'Erkrankungs- und Strukturdaten'!$C$7</f>
        <v>1258.181818181818</v>
      </c>
      <c r="I393" s="64">
        <f t="shared" si="46"/>
        <v>547317</v>
      </c>
      <c r="J393" s="64">
        <f t="shared" si="42"/>
        <v>0</v>
      </c>
      <c r="K393" s="101">
        <f>IFERROR(IF(D393=_Datum,Prognoseparameter!$C$14,
IF(_WachstumsrateKURZ="Bundesweit",IF(D393&gt;_Datum,
         K392+AVERAGE(F389:F392)*(1+_WR)*(1-(K392-VLOOKUP('Erkrankungs- und Strukturdaten'!$C$45,$D:$M,$K$1,FALSE))/$B$16),
         K394-$B$23*F394),
IF(D393&gt;_Datum,K392+G393,IF(G394="",K394/(K394^(1/N393)),K394-G394)))),"")</f>
        <v>0</v>
      </c>
      <c r="L393" s="64">
        <f>I393/'Erkrankungs- und Strukturdaten'!$C$7</f>
        <v>995121.81818181812</v>
      </c>
      <c r="M393" s="65">
        <f t="shared" si="43"/>
        <v>1.265950148639378E-3</v>
      </c>
      <c r="N393" s="163">
        <v>217</v>
      </c>
      <c r="O393" s="222">
        <f t="shared" si="44"/>
        <v>1</v>
      </c>
    </row>
    <row r="394" spans="4:15" x14ac:dyDescent="0.2">
      <c r="D394" s="86">
        <v>44248</v>
      </c>
      <c r="E394" s="64">
        <f t="shared" si="45"/>
        <v>525</v>
      </c>
      <c r="F394" s="101">
        <v>525</v>
      </c>
      <c r="G394" s="140"/>
      <c r="H394" s="64">
        <f>E394/'Erkrankungs- und Strukturdaten'!$C$7</f>
        <v>954.5454545454545</v>
      </c>
      <c r="I394" s="64">
        <f t="shared" si="46"/>
        <v>547842</v>
      </c>
      <c r="J394" s="64">
        <f t="shared" si="42"/>
        <v>0</v>
      </c>
      <c r="K394" s="101">
        <f>IFERROR(IF(D394=_Datum,Prognoseparameter!$C$14,
IF(_WachstumsrateKURZ="Bundesweit",IF(D394&gt;_Datum,
         K393+AVERAGE(F390:F393)*(1+_WR)*(1-(K393-VLOOKUP('Erkrankungs- und Strukturdaten'!$C$45,$D:$M,$K$1,FALSE))/$B$16),
         K395-$B$23*F395),
IF(D394&gt;_Datum,K393+G394,IF(G395="",K395/(K395^(1/N394)),K395-G395)))),"")</f>
        <v>0</v>
      </c>
      <c r="L394" s="64">
        <f>I394/'Erkrankungs- und Strukturdaten'!$C$7</f>
        <v>996076.36363636353</v>
      </c>
      <c r="M394" s="65">
        <f t="shared" si="43"/>
        <v>9.5922472716908119E-4</v>
      </c>
      <c r="N394" s="163">
        <v>217</v>
      </c>
      <c r="O394" s="222">
        <f t="shared" si="44"/>
        <v>1</v>
      </c>
    </row>
    <row r="395" spans="4:15" x14ac:dyDescent="0.2">
      <c r="D395" s="86">
        <v>44249</v>
      </c>
      <c r="E395" s="64">
        <f t="shared" si="45"/>
        <v>1409</v>
      </c>
      <c r="F395" s="101">
        <v>1409</v>
      </c>
      <c r="G395" s="140"/>
      <c r="H395" s="64">
        <f>E395/'Erkrankungs- und Strukturdaten'!$C$7</f>
        <v>2561.8181818181815</v>
      </c>
      <c r="I395" s="64">
        <f t="shared" si="46"/>
        <v>549251</v>
      </c>
      <c r="J395" s="64">
        <f t="shared" si="42"/>
        <v>0</v>
      </c>
      <c r="K395" s="101">
        <f>IFERROR(IF(D395=_Datum,Prognoseparameter!$C$14,
IF(_WachstumsrateKURZ="Bundesweit",IF(D395&gt;_Datum,
         K394+AVERAGE(F391:F394)*(1+_WR)*(1-(K394-VLOOKUP('Erkrankungs- und Strukturdaten'!$C$45,$D:$M,$K$1,FALSE))/$B$16),
         K396-$B$23*F396),
IF(D395&gt;_Datum,K394+G395,IF(G396="",K396/(K396^(1/N395)),K396-G396)))),"")</f>
        <v>0</v>
      </c>
      <c r="L395" s="64">
        <f>I395/'Erkrankungs- und Strukturdaten'!$C$7</f>
        <v>998638.18181818177</v>
      </c>
      <c r="M395" s="65">
        <f t="shared" si="43"/>
        <v>2.5719094191390948E-3</v>
      </c>
      <c r="N395" s="163">
        <v>217</v>
      </c>
      <c r="O395" s="222">
        <f t="shared" si="44"/>
        <v>1</v>
      </c>
    </row>
    <row r="396" spans="4:15" x14ac:dyDescent="0.2">
      <c r="D396" s="86">
        <v>44250</v>
      </c>
      <c r="E396" s="64">
        <f t="shared" si="45"/>
        <v>1259</v>
      </c>
      <c r="F396" s="101">
        <v>1259</v>
      </c>
      <c r="G396" s="140"/>
      <c r="H396" s="64">
        <f>E396/'Erkrankungs- und Strukturdaten'!$C$7</f>
        <v>2289.090909090909</v>
      </c>
      <c r="I396" s="64">
        <f t="shared" si="46"/>
        <v>550510</v>
      </c>
      <c r="J396" s="64">
        <f t="shared" si="42"/>
        <v>0</v>
      </c>
      <c r="K396" s="101">
        <f>IFERROR(IF(D396=_Datum,Prognoseparameter!$C$14,
IF(_WachstumsrateKURZ="Bundesweit",IF(D396&gt;_Datum,
         K395+AVERAGE(F392:F395)*(1+_WR)*(1-(K395-VLOOKUP('Erkrankungs- und Strukturdaten'!$C$45,$D:$M,$K$1,FALSE))/$B$16),
         K397-$B$23*F397),
IF(D396&gt;_Datum,K395+G396,IF(G397="",K397/(K397^(1/N396)),K397-G397)))),"")</f>
        <v>0</v>
      </c>
      <c r="L396" s="64">
        <f>I396/'Erkrankungs- und Strukturdaten'!$C$7</f>
        <v>1000927.2727272726</v>
      </c>
      <c r="M396" s="65">
        <f t="shared" si="43"/>
        <v>2.2922124857305678E-3</v>
      </c>
      <c r="N396" s="163">
        <v>217</v>
      </c>
      <c r="O396" s="222">
        <f t="shared" si="44"/>
        <v>1</v>
      </c>
    </row>
    <row r="397" spans="4:15" x14ac:dyDescent="0.2">
      <c r="D397" s="86">
        <v>44251</v>
      </c>
      <c r="E397" s="64">
        <f t="shared" si="45"/>
        <v>1076</v>
      </c>
      <c r="F397" s="101">
        <v>1076</v>
      </c>
      <c r="G397" s="140"/>
      <c r="H397" s="64">
        <f>E397/'Erkrankungs- und Strukturdaten'!$C$7</f>
        <v>1956.3636363636363</v>
      </c>
      <c r="I397" s="64">
        <f t="shared" si="46"/>
        <v>551586</v>
      </c>
      <c r="J397" s="64">
        <f t="shared" si="42"/>
        <v>0</v>
      </c>
      <c r="K397" s="101">
        <f>IFERROR(IF(D397=_Datum,Prognoseparameter!$C$14,
IF(_WachstumsrateKURZ="Bundesweit",IF(D397&gt;_Datum,
         K396+AVERAGE(F393:F396)*(1+_WR)*(1-(K396-VLOOKUP('Erkrankungs- und Strukturdaten'!$C$45,$D:$M,$K$1,FALSE))/$B$16),
         K398-$B$23*F398),
IF(D397&gt;_Datum,K396+G397,IF(G398="",K398/(K398^(1/N397)),K398-G398)))),"")</f>
        <v>0</v>
      </c>
      <c r="L397" s="64">
        <f>I397/'Erkrankungs- und Strukturdaten'!$C$7</f>
        <v>1002883.6363636362</v>
      </c>
      <c r="M397" s="65">
        <f t="shared" si="43"/>
        <v>1.9545512343100034E-3</v>
      </c>
      <c r="N397" s="163">
        <v>217</v>
      </c>
      <c r="O397" s="222">
        <f t="shared" si="44"/>
        <v>1</v>
      </c>
    </row>
    <row r="398" spans="4:15" x14ac:dyDescent="0.2">
      <c r="D398" s="86">
        <v>44252</v>
      </c>
      <c r="E398" s="64">
        <f t="shared" si="45"/>
        <v>1121</v>
      </c>
      <c r="F398" s="101">
        <v>1121</v>
      </c>
      <c r="G398" s="140"/>
      <c r="H398" s="64">
        <f>E398/'Erkrankungs- und Strukturdaten'!$C$7</f>
        <v>2038.181818181818</v>
      </c>
      <c r="I398" s="64">
        <f t="shared" si="46"/>
        <v>552707</v>
      </c>
      <c r="J398" s="64">
        <f t="shared" si="42"/>
        <v>0</v>
      </c>
      <c r="K398" s="101">
        <f>IFERROR(IF(D398=_Datum,Prognoseparameter!$C$14,
IF(_WachstumsrateKURZ="Bundesweit",IF(D398&gt;_Datum,
         K397+AVERAGE(F394:F397)*(1+_WR)*(1-(K397-VLOOKUP('Erkrankungs- und Strukturdaten'!$C$45,$D:$M,$K$1,FALSE))/$B$16),
         K399-$B$23*F399),
IF(D398&gt;_Datum,K397+G398,IF(G399="",K399/(K399^(1/N398)),K399-G399)))),"")</f>
        <v>0</v>
      </c>
      <c r="L398" s="64">
        <f>I398/'Erkrankungs- und Strukturdaten'!$C$7</f>
        <v>1004921.8181818181</v>
      </c>
      <c r="M398" s="65">
        <f t="shared" si="43"/>
        <v>2.0323213424561174E-3</v>
      </c>
      <c r="N398" s="163">
        <v>217</v>
      </c>
      <c r="O398" s="222">
        <f t="shared" si="44"/>
        <v>1</v>
      </c>
    </row>
    <row r="399" spans="4:15" x14ac:dyDescent="0.2">
      <c r="D399" s="86">
        <v>44253</v>
      </c>
      <c r="E399" s="64">
        <f t="shared" si="45"/>
        <v>1082</v>
      </c>
      <c r="F399" s="101">
        <v>1082</v>
      </c>
      <c r="G399" s="140"/>
      <c r="H399" s="64">
        <f>E399/'Erkrankungs- und Strukturdaten'!$C$7</f>
        <v>1967.272727272727</v>
      </c>
      <c r="I399" s="64">
        <f t="shared" si="46"/>
        <v>553789</v>
      </c>
      <c r="J399" s="64">
        <f t="shared" si="42"/>
        <v>0</v>
      </c>
      <c r="K399" s="101">
        <f>IFERROR(IF(D399=_Datum,Prognoseparameter!$C$14,
IF(_WachstumsrateKURZ="Bundesweit",IF(D399&gt;_Datum,
         K398+AVERAGE(F395:F398)*(1+_WR)*(1-(K398-VLOOKUP('Erkrankungs- und Strukturdaten'!$C$45,$D:$M,$K$1,FALSE))/$B$16),
         K400-$B$23*F400),
IF(D399&gt;_Datum,K398+G399,IF(G400="",K400/(K400^(1/N399)),K400-G400)))),"")</f>
        <v>0</v>
      </c>
      <c r="L399" s="64">
        <f>I399/'Erkrankungs- und Strukturdaten'!$C$7</f>
        <v>1006889.0909090908</v>
      </c>
      <c r="M399" s="65">
        <f t="shared" si="43"/>
        <v>1.9576375909840112E-3</v>
      </c>
      <c r="N399" s="163">
        <v>217</v>
      </c>
      <c r="O399" s="222">
        <f t="shared" si="44"/>
        <v>1</v>
      </c>
    </row>
    <row r="400" spans="4:15" x14ac:dyDescent="0.2">
      <c r="D400" s="86">
        <v>44254</v>
      </c>
      <c r="E400" s="64">
        <f t="shared" si="45"/>
        <v>723</v>
      </c>
      <c r="F400" s="101">
        <v>723</v>
      </c>
      <c r="G400" s="140"/>
      <c r="H400" s="64">
        <f>E400/'Erkrankungs- und Strukturdaten'!$C$7</f>
        <v>1314.5454545454545</v>
      </c>
      <c r="I400" s="64">
        <f t="shared" si="46"/>
        <v>554512</v>
      </c>
      <c r="J400" s="64">
        <f t="shared" si="42"/>
        <v>0</v>
      </c>
      <c r="K400" s="101">
        <f>IFERROR(IF(D400=_Datum,Prognoseparameter!$C$14,
IF(_WachstumsrateKURZ="Bundesweit",IF(D400&gt;_Datum,
         K399+AVERAGE(F396:F399)*(1+_WR)*(1-(K399-VLOOKUP('Erkrankungs- und Strukturdaten'!$C$45,$D:$M,$K$1,FALSE))/$B$16),
         K401-$B$23*F401),
IF(D400&gt;_Datum,K399+G400,IF(G401="",K401/(K401^(1/N400)),K401-G401)))),"")</f>
        <v>0</v>
      </c>
      <c r="L400" s="64">
        <f>I400/'Erkrankungs- und Strukturdaten'!$C$7</f>
        <v>1008203.6363636362</v>
      </c>
      <c r="M400" s="65">
        <f t="shared" si="43"/>
        <v>1.3055513923172905E-3</v>
      </c>
      <c r="N400" s="163">
        <v>217</v>
      </c>
      <c r="O400" s="222">
        <f t="shared" si="44"/>
        <v>1</v>
      </c>
    </row>
    <row r="401" spans="4:15" x14ac:dyDescent="0.2">
      <c r="D401" s="86">
        <v>44255</v>
      </c>
      <c r="E401" s="64">
        <f t="shared" si="45"/>
        <v>547</v>
      </c>
      <c r="F401" s="101">
        <v>547</v>
      </c>
      <c r="G401" s="140"/>
      <c r="H401" s="64">
        <f>E401/'Erkrankungs- und Strukturdaten'!$C$7</f>
        <v>994.5454545454545</v>
      </c>
      <c r="I401" s="64">
        <f t="shared" si="46"/>
        <v>555059</v>
      </c>
      <c r="J401" s="64">
        <f t="shared" si="42"/>
        <v>0</v>
      </c>
      <c r="K401" s="101">
        <f>IFERROR(IF(D401=_Datum,Prognoseparameter!$C$14,
IF(_WachstumsrateKURZ="Bundesweit",IF(D401&gt;_Datum,
         K400+AVERAGE(F397:F400)*(1+_WR)*(1-(K400-VLOOKUP('Erkrankungs- und Strukturdaten'!$C$45,$D:$M,$K$1,FALSE))/$B$16),
         K402-$B$23*F402),
IF(D401&gt;_Datum,K400+G401,IF(G402="",K402/(K402^(1/N401)),K402-G402)))),"")</f>
        <v>0</v>
      </c>
      <c r="L401" s="64">
        <f>I401/'Erkrankungs- und Strukturdaten'!$C$7</f>
        <v>1009198.1818181818</v>
      </c>
      <c r="M401" s="65">
        <f t="shared" si="43"/>
        <v>9.8645295322734219E-4</v>
      </c>
      <c r="N401" s="163">
        <v>217</v>
      </c>
      <c r="O401" s="222">
        <f t="shared" si="44"/>
        <v>1</v>
      </c>
    </row>
    <row r="402" spans="4:15" x14ac:dyDescent="0.2">
      <c r="D402" s="86">
        <v>44256</v>
      </c>
      <c r="E402" s="64">
        <f t="shared" si="45"/>
        <v>1419</v>
      </c>
      <c r="F402" s="101">
        <v>1419</v>
      </c>
      <c r="G402" s="140"/>
      <c r="H402" s="64">
        <f>E402/'Erkrankungs- und Strukturdaten'!$C$7</f>
        <v>2580</v>
      </c>
      <c r="I402" s="64">
        <f t="shared" si="46"/>
        <v>556478</v>
      </c>
      <c r="J402" s="64">
        <f t="shared" si="42"/>
        <v>0</v>
      </c>
      <c r="K402" s="101">
        <f>IFERROR(IF(D402=_Datum,Prognoseparameter!$C$14,
IF(_WachstumsrateKURZ="Bundesweit",IF(D402&gt;_Datum,
         K401+AVERAGE(F398:F401)*(1+_WR)*(1-(K401-VLOOKUP('Erkrankungs- und Strukturdaten'!$C$45,$D:$M,$K$1,FALSE))/$B$16),
         K403-$B$23*F403),
IF(D402&gt;_Datum,K401+G402,IF(G403="",K403/(K403^(1/N402)),K403-G403)))),"")</f>
        <v>0</v>
      </c>
      <c r="L402" s="64">
        <f>I402/'Erkrankungs- und Strukturdaten'!$C$7</f>
        <v>1011778.1818181818</v>
      </c>
      <c r="M402" s="65">
        <f t="shared" si="43"/>
        <v>2.5564849862807376E-3</v>
      </c>
      <c r="N402" s="163">
        <v>217</v>
      </c>
      <c r="O402" s="222">
        <f t="shared" si="44"/>
        <v>1</v>
      </c>
    </row>
    <row r="403" spans="4:15" x14ac:dyDescent="0.2">
      <c r="D403" s="86">
        <v>44257</v>
      </c>
      <c r="E403" s="64">
        <f t="shared" si="45"/>
        <v>1229</v>
      </c>
      <c r="F403" s="101">
        <v>1229</v>
      </c>
      <c r="G403" s="140"/>
      <c r="H403" s="64">
        <f>E403/'Erkrankungs- und Strukturdaten'!$C$7</f>
        <v>2234.5454545454545</v>
      </c>
      <c r="I403" s="64">
        <f t="shared" si="46"/>
        <v>557707</v>
      </c>
      <c r="J403" s="64">
        <f t="shared" si="42"/>
        <v>0</v>
      </c>
      <c r="K403" s="101">
        <f>IFERROR(IF(D403=_Datum,Prognoseparameter!$C$14,
IF(_WachstumsrateKURZ="Bundesweit",IF(D403&gt;_Datum,
         K402+AVERAGE(F399:F402)*(1+_WR)*(1-(K402-VLOOKUP('Erkrankungs- und Strukturdaten'!$C$45,$D:$M,$K$1,FALSE))/$B$16),
         K404-$B$23*F404),
IF(D403&gt;_Datum,K402+G403,IF(G404="",K404/(K404^(1/N403)),K404-G404)))),"")</f>
        <v>0</v>
      </c>
      <c r="L403" s="64">
        <f>I403/'Erkrankungs- und Strukturdaten'!$C$7</f>
        <v>1014012.7272727272</v>
      </c>
      <c r="M403" s="65">
        <f t="shared" si="43"/>
        <v>2.2085329518866876E-3</v>
      </c>
      <c r="N403" s="163">
        <v>217</v>
      </c>
      <c r="O403" s="222">
        <f t="shared" si="44"/>
        <v>1</v>
      </c>
    </row>
    <row r="404" spans="4:15" x14ac:dyDescent="0.2">
      <c r="D404" s="86">
        <v>44258</v>
      </c>
      <c r="E404" s="64">
        <f t="shared" si="45"/>
        <v>1240</v>
      </c>
      <c r="F404" s="101">
        <v>1240</v>
      </c>
      <c r="G404" s="140"/>
      <c r="H404" s="64">
        <f>E404/'Erkrankungs- und Strukturdaten'!$C$7</f>
        <v>2254.5454545454545</v>
      </c>
      <c r="I404" s="64">
        <f t="shared" si="46"/>
        <v>558947</v>
      </c>
      <c r="J404" s="64">
        <f t="shared" si="42"/>
        <v>0</v>
      </c>
      <c r="K404" s="101">
        <f>IFERROR(IF(D404=_Datum,Prognoseparameter!$C$14,
IF(_WachstumsrateKURZ="Bundesweit",IF(D404&gt;_Datum,
         K403+AVERAGE(F400:F403)*(1+_WR)*(1-(K403-VLOOKUP('Erkrankungs- und Strukturdaten'!$C$45,$D:$M,$K$1,FALSE))/$B$16),
         K405-$B$23*F405),
IF(D404&gt;_Datum,K403+G404,IF(G405="",K405/(K405^(1/N404)),K405-G405)))),"")</f>
        <v>0</v>
      </c>
      <c r="L404" s="64">
        <f>I404/'Erkrankungs- und Strukturdaten'!$C$7</f>
        <v>1016267.2727272726</v>
      </c>
      <c r="M404" s="65">
        <f t="shared" si="43"/>
        <v>2.2233897010437379E-3</v>
      </c>
      <c r="N404" s="163">
        <v>217</v>
      </c>
      <c r="O404" s="222">
        <f t="shared" si="44"/>
        <v>1</v>
      </c>
    </row>
    <row r="405" spans="4:15" x14ac:dyDescent="0.2">
      <c r="D405" s="86">
        <v>44259</v>
      </c>
      <c r="E405" s="64">
        <f t="shared" si="45"/>
        <v>1062</v>
      </c>
      <c r="F405" s="101">
        <v>1062</v>
      </c>
      <c r="G405" s="140"/>
      <c r="H405" s="64">
        <f>E405/'Erkrankungs- und Strukturdaten'!$C$7</f>
        <v>1930.9090909090908</v>
      </c>
      <c r="I405" s="64">
        <f t="shared" si="46"/>
        <v>560009</v>
      </c>
      <c r="J405" s="64">
        <f t="shared" si="42"/>
        <v>0</v>
      </c>
      <c r="K405" s="101">
        <f>IFERROR(IF(D405=_Datum,Prognoseparameter!$C$14,
IF(_WachstumsrateKURZ="Bundesweit",IF(D405&gt;_Datum,
         K404+AVERAGE(F401:F404)*(1+_WR)*(1-(K404-VLOOKUP('Erkrankungs- und Strukturdaten'!$C$45,$D:$M,$K$1,FALSE))/$B$16),
         K406-$B$23*F406),
IF(D405&gt;_Datum,K404+G405,IF(G406="",K406/(K406^(1/N405)),K406-G406)))),"")</f>
        <v>0</v>
      </c>
      <c r="L405" s="64">
        <f>I405/'Erkrankungs- und Strukturdaten'!$C$7</f>
        <v>1018198.1818181818</v>
      </c>
      <c r="M405" s="65">
        <f t="shared" si="43"/>
        <v>1.9000012523548745E-3</v>
      </c>
      <c r="N405" s="163">
        <v>217</v>
      </c>
      <c r="O405" s="222">
        <f t="shared" si="44"/>
        <v>1</v>
      </c>
    </row>
    <row r="406" spans="4:15" x14ac:dyDescent="0.2">
      <c r="D406" s="86">
        <v>44260</v>
      </c>
      <c r="E406" s="64">
        <f t="shared" si="45"/>
        <v>1277</v>
      </c>
      <c r="F406" s="101">
        <v>1277</v>
      </c>
      <c r="G406" s="140"/>
      <c r="H406" s="64">
        <f>E406/'Erkrankungs- und Strukturdaten'!$C$7</f>
        <v>2321.8181818181815</v>
      </c>
      <c r="I406" s="64">
        <f t="shared" si="46"/>
        <v>561286</v>
      </c>
      <c r="J406" s="64">
        <f t="shared" si="42"/>
        <v>0</v>
      </c>
      <c r="K406" s="101">
        <f>IFERROR(IF(D406=_Datum,Prognoseparameter!$C$14,
IF(_WachstumsrateKURZ="Bundesweit",IF(D406&gt;_Datum,
         K405+AVERAGE(F402:F405)*(1+_WR)*(1-(K405-VLOOKUP('Erkrankungs- und Strukturdaten'!$C$45,$D:$M,$K$1,FALSE))/$B$16),
         K407-$B$23*F407),
IF(D406&gt;_Datum,K405+G406,IF(G407="",K407/(K407^(1/N406)),K407-G407)))),"")</f>
        <v>0</v>
      </c>
      <c r="L406" s="64">
        <f>I406/'Erkrankungs- und Strukturdaten'!$C$7</f>
        <v>1020519.9999999999</v>
      </c>
      <c r="M406" s="65">
        <f t="shared" si="43"/>
        <v>2.28032049484919E-3</v>
      </c>
      <c r="N406" s="163">
        <v>217</v>
      </c>
      <c r="O406" s="222">
        <f t="shared" si="44"/>
        <v>1</v>
      </c>
    </row>
    <row r="407" spans="4:15" x14ac:dyDescent="0.2">
      <c r="D407" s="86">
        <v>44261</v>
      </c>
      <c r="E407" s="64">
        <f t="shared" si="45"/>
        <v>765</v>
      </c>
      <c r="F407" s="101">
        <v>765</v>
      </c>
      <c r="G407" s="140"/>
      <c r="H407" s="64">
        <f>E407/'Erkrankungs- und Strukturdaten'!$C$7</f>
        <v>1390.9090909090908</v>
      </c>
      <c r="I407" s="64">
        <f t="shared" si="46"/>
        <v>562051</v>
      </c>
      <c r="J407" s="64">
        <f t="shared" ref="J407:J470" si="47">J406+G407</f>
        <v>0</v>
      </c>
      <c r="K407" s="101">
        <f>IFERROR(IF(D407=_Datum,Prognoseparameter!$C$14,
IF(_WachstumsrateKURZ="Bundesweit",IF(D407&gt;_Datum,
         K406+AVERAGE(F403:F406)*(1+_WR)*(1-(K406-VLOOKUP('Erkrankungs- und Strukturdaten'!$C$45,$D:$M,$K$1,FALSE))/$B$16),
         K408-$B$23*F408),
IF(D407&gt;_Datum,K406+G407,IF(G408="",K408/(K408^(1/N407)),K408-G408)))),"")</f>
        <v>0</v>
      </c>
      <c r="L407" s="64">
        <f>I407/'Erkrankungs- und Strukturdaten'!$C$7</f>
        <v>1021910.9090909091</v>
      </c>
      <c r="M407" s="65">
        <f t="shared" ref="M407:M470" si="48">IFERROR((I407-I406)/I406,0)</f>
        <v>1.3629415306991445E-3</v>
      </c>
      <c r="N407" s="163">
        <v>217</v>
      </c>
      <c r="O407" s="222">
        <f t="shared" ref="O407:O470" si="49">IF(F407=ROUNDDOWN(F407,0),1,0)</f>
        <v>1</v>
      </c>
    </row>
    <row r="408" spans="4:15" x14ac:dyDescent="0.2">
      <c r="D408" s="86">
        <v>44262</v>
      </c>
      <c r="E408" s="64">
        <f t="shared" si="45"/>
        <v>582</v>
      </c>
      <c r="F408" s="101">
        <v>582</v>
      </c>
      <c r="G408" s="140"/>
      <c r="H408" s="64">
        <f>E408/'Erkrankungs- und Strukturdaten'!$C$7</f>
        <v>1058.181818181818</v>
      </c>
      <c r="I408" s="64">
        <f t="shared" si="46"/>
        <v>562633</v>
      </c>
      <c r="J408" s="64">
        <f t="shared" si="47"/>
        <v>0</v>
      </c>
      <c r="K408" s="101">
        <f>IFERROR(IF(D408=_Datum,Prognoseparameter!$C$14,
IF(_WachstumsrateKURZ="Bundesweit",IF(D408&gt;_Datum,
         K407+AVERAGE(F404:F407)*(1+_WR)*(1-(K407-VLOOKUP('Erkrankungs- und Strukturdaten'!$C$45,$D:$M,$K$1,FALSE))/$B$16),
         K409-$B$23*F409),
IF(D408&gt;_Datum,K407+G408,IF(G409="",K409/(K409^(1/N408)),K409-G409)))),"")</f>
        <v>0</v>
      </c>
      <c r="L408" s="64">
        <f>I408/'Erkrankungs- und Strukturdaten'!$C$7</f>
        <v>1022969.0909090908</v>
      </c>
      <c r="M408" s="65">
        <f t="shared" si="48"/>
        <v>1.0354932203661233E-3</v>
      </c>
      <c r="N408" s="163">
        <v>217</v>
      </c>
      <c r="O408" s="222">
        <f t="shared" si="49"/>
        <v>1</v>
      </c>
    </row>
    <row r="409" spans="4:15" x14ac:dyDescent="0.2">
      <c r="D409" s="86">
        <v>44263</v>
      </c>
      <c r="E409" s="64">
        <f t="shared" si="45"/>
        <v>1702</v>
      </c>
      <c r="F409" s="101">
        <v>1702</v>
      </c>
      <c r="G409" s="140"/>
      <c r="H409" s="64">
        <f>E409/'Erkrankungs- und Strukturdaten'!$C$7</f>
        <v>3094.5454545454545</v>
      </c>
      <c r="I409" s="64">
        <f t="shared" si="46"/>
        <v>564335</v>
      </c>
      <c r="J409" s="64">
        <f t="shared" si="47"/>
        <v>0</v>
      </c>
      <c r="K409" s="101">
        <f>IFERROR(IF(D409=_Datum,Prognoseparameter!$C$14,
IF(_WachstumsrateKURZ="Bundesweit",IF(D409&gt;_Datum,
         K408+AVERAGE(F405:F408)*(1+_WR)*(1-(K408-VLOOKUP('Erkrankungs- und Strukturdaten'!$C$45,$D:$M,$K$1,FALSE))/$B$16),
         K410-$B$23*F410),
IF(D409&gt;_Datum,K408+G409,IF(G410="",K410/(K410^(1/N409)),K410-G410)))),"")</f>
        <v>0</v>
      </c>
      <c r="L409" s="64">
        <f>I409/'Erkrankungs- und Strukturdaten'!$C$7</f>
        <v>1026063.6363636362</v>
      </c>
      <c r="M409" s="65">
        <f t="shared" si="48"/>
        <v>3.0250625185511693E-3</v>
      </c>
      <c r="N409" s="163">
        <v>217</v>
      </c>
      <c r="O409" s="222">
        <f t="shared" si="49"/>
        <v>1</v>
      </c>
    </row>
    <row r="410" spans="4:15" x14ac:dyDescent="0.2">
      <c r="D410" s="86">
        <v>44264</v>
      </c>
      <c r="E410" s="64">
        <f t="shared" si="45"/>
        <v>1387</v>
      </c>
      <c r="F410" s="101">
        <v>1387</v>
      </c>
      <c r="G410" s="140"/>
      <c r="H410" s="64">
        <f>E410/'Erkrankungs- und Strukturdaten'!$C$7</f>
        <v>2521.8181818181815</v>
      </c>
      <c r="I410" s="64">
        <f t="shared" si="46"/>
        <v>565722</v>
      </c>
      <c r="J410" s="64">
        <f t="shared" si="47"/>
        <v>0</v>
      </c>
      <c r="K410" s="101">
        <f>IFERROR(IF(D410=_Datum,Prognoseparameter!$C$14,
IF(_WachstumsrateKURZ="Bundesweit",IF(D410&gt;_Datum,
         K409+AVERAGE(F406:F409)*(1+_WR)*(1-(K409-VLOOKUP('Erkrankungs- und Strukturdaten'!$C$45,$D:$M,$K$1,FALSE))/$B$16),
         K411-$B$23*F411),
IF(D410&gt;_Datum,K409+G410,IF(G411="",K411/(K411^(1/N410)),K411-G411)))),"")</f>
        <v>0</v>
      </c>
      <c r="L410" s="64">
        <f>I410/'Erkrankungs- und Strukturdaten'!$C$7</f>
        <v>1028585.4545454545</v>
      </c>
      <c r="M410" s="65">
        <f t="shared" si="48"/>
        <v>2.45776001842877E-3</v>
      </c>
      <c r="N410" s="163">
        <v>217</v>
      </c>
      <c r="O410" s="222">
        <f t="shared" si="49"/>
        <v>1</v>
      </c>
    </row>
    <row r="411" spans="4:15" x14ac:dyDescent="0.2">
      <c r="D411" s="86">
        <v>44265</v>
      </c>
      <c r="E411" s="64">
        <f t="shared" si="45"/>
        <v>1385</v>
      </c>
      <c r="F411" s="101">
        <v>1385</v>
      </c>
      <c r="G411" s="140"/>
      <c r="H411" s="64">
        <f>E411/'Erkrankungs- und Strukturdaten'!$C$7</f>
        <v>2518.181818181818</v>
      </c>
      <c r="I411" s="64">
        <f t="shared" si="46"/>
        <v>567107</v>
      </c>
      <c r="J411" s="64">
        <f t="shared" si="47"/>
        <v>0</v>
      </c>
      <c r="K411" s="101">
        <f>IFERROR(IF(D411=_Datum,Prognoseparameter!$C$14,
IF(_WachstumsrateKURZ="Bundesweit",IF(D411&gt;_Datum,
         K410+AVERAGE(F407:F410)*(1+_WR)*(1-(K410-VLOOKUP('Erkrankungs- und Strukturdaten'!$C$45,$D:$M,$K$1,FALSE))/$B$16),
         K412-$B$23*F412),
IF(D411&gt;_Datum,K410+G411,IF(G412="",K412/(K412^(1/N411)),K412-G412)))),"")</f>
        <v>0</v>
      </c>
      <c r="L411" s="64">
        <f>I411/'Erkrankungs- und Strukturdaten'!$C$7</f>
        <v>1031103.6363636362</v>
      </c>
      <c r="M411" s="65">
        <f t="shared" si="48"/>
        <v>2.448198938701341E-3</v>
      </c>
      <c r="N411" s="163">
        <v>217</v>
      </c>
      <c r="O411" s="222">
        <f t="shared" si="49"/>
        <v>1</v>
      </c>
    </row>
    <row r="412" spans="4:15" x14ac:dyDescent="0.2">
      <c r="D412" s="86">
        <v>44266</v>
      </c>
      <c r="E412" s="64">
        <f t="shared" si="45"/>
        <v>1339</v>
      </c>
      <c r="F412" s="101">
        <v>1339</v>
      </c>
      <c r="G412" s="140"/>
      <c r="H412" s="64">
        <f>E412/'Erkrankungs- und Strukturdaten'!$C$7</f>
        <v>2434.5454545454545</v>
      </c>
      <c r="I412" s="64">
        <f t="shared" si="46"/>
        <v>568446</v>
      </c>
      <c r="J412" s="64">
        <f t="shared" si="47"/>
        <v>0</v>
      </c>
      <c r="K412" s="101">
        <f>IFERROR(IF(D412=_Datum,Prognoseparameter!$C$14,
IF(_WachstumsrateKURZ="Bundesweit",IF(D412&gt;_Datum,
         K411+AVERAGE(F408:F411)*(1+_WR)*(1-(K411-VLOOKUP('Erkrankungs- und Strukturdaten'!$C$45,$D:$M,$K$1,FALSE))/$B$16),
         K413-$B$23*F413),
IF(D412&gt;_Datum,K411+G412,IF(G413="",K413/(K413^(1/N412)),K413-G413)))),"")</f>
        <v>0</v>
      </c>
      <c r="L412" s="64">
        <f>I412/'Erkrankungs- und Strukturdaten'!$C$7</f>
        <v>1033538.1818181818</v>
      </c>
      <c r="M412" s="65">
        <f t="shared" si="48"/>
        <v>2.3611064578642127E-3</v>
      </c>
      <c r="N412" s="163">
        <v>217</v>
      </c>
      <c r="O412" s="222">
        <f t="shared" si="49"/>
        <v>1</v>
      </c>
    </row>
    <row r="413" spans="4:15" x14ac:dyDescent="0.2">
      <c r="D413" s="86">
        <v>44267</v>
      </c>
      <c r="E413" s="64">
        <f t="shared" si="45"/>
        <v>1341</v>
      </c>
      <c r="F413" s="101">
        <v>1341</v>
      </c>
      <c r="G413" s="140"/>
      <c r="H413" s="64">
        <f>E413/'Erkrankungs- und Strukturdaten'!$C$7</f>
        <v>2438.181818181818</v>
      </c>
      <c r="I413" s="64">
        <f t="shared" si="46"/>
        <v>569787</v>
      </c>
      <c r="J413" s="64">
        <f t="shared" si="47"/>
        <v>0</v>
      </c>
      <c r="K413" s="101">
        <f>IFERROR(IF(D413=_Datum,Prognoseparameter!$C$14,
IF(_WachstumsrateKURZ="Bundesweit",IF(D413&gt;_Datum,
         K412+AVERAGE(F409:F412)*(1+_WR)*(1-(K412-VLOOKUP('Erkrankungs- und Strukturdaten'!$C$45,$D:$M,$K$1,FALSE))/$B$16),
         K414-$B$23*F414),
IF(D413&gt;_Datum,K412+G413,IF(G414="",K414/(K414^(1/N413)),K414-G414)))),"")</f>
        <v>0</v>
      </c>
      <c r="L413" s="64">
        <f>I413/'Erkrankungs- und Strukturdaten'!$C$7</f>
        <v>1035976.3636363635</v>
      </c>
      <c r="M413" s="65">
        <f t="shared" si="48"/>
        <v>2.3590631300070717E-3</v>
      </c>
      <c r="N413" s="163">
        <v>217</v>
      </c>
      <c r="O413" s="222">
        <f t="shared" si="49"/>
        <v>1</v>
      </c>
    </row>
    <row r="414" spans="4:15" x14ac:dyDescent="0.2">
      <c r="D414" s="86">
        <v>44268</v>
      </c>
      <c r="E414" s="64">
        <f t="shared" si="45"/>
        <v>921</v>
      </c>
      <c r="F414" s="101">
        <v>921</v>
      </c>
      <c r="G414" s="140"/>
      <c r="H414" s="64">
        <f>E414/'Erkrankungs- und Strukturdaten'!$C$7</f>
        <v>1674.5454545454545</v>
      </c>
      <c r="I414" s="64">
        <f t="shared" si="46"/>
        <v>570708</v>
      </c>
      <c r="J414" s="64">
        <f t="shared" si="47"/>
        <v>0</v>
      </c>
      <c r="K414" s="101">
        <f>IFERROR(IF(D414=_Datum,Prognoseparameter!$C$14,
IF(_WachstumsrateKURZ="Bundesweit",IF(D414&gt;_Datum,
         K413+AVERAGE(F410:F413)*(1+_WR)*(1-(K413-VLOOKUP('Erkrankungs- und Strukturdaten'!$C$45,$D:$M,$K$1,FALSE))/$B$16),
         K415-$B$23*F415),
IF(D414&gt;_Datum,K413+G414,IF(G415="",K415/(K415^(1/N414)),K415-G415)))),"")</f>
        <v>0</v>
      </c>
      <c r="L414" s="64">
        <f>I414/'Erkrankungs- und Strukturdaten'!$C$7</f>
        <v>1037650.9090909091</v>
      </c>
      <c r="M414" s="65">
        <f t="shared" si="48"/>
        <v>1.6163934944110694E-3</v>
      </c>
      <c r="N414" s="163">
        <v>217</v>
      </c>
      <c r="O414" s="222">
        <f t="shared" si="49"/>
        <v>1</v>
      </c>
    </row>
    <row r="415" spans="4:15" x14ac:dyDescent="0.2">
      <c r="D415" s="86">
        <v>44269</v>
      </c>
      <c r="E415" s="64">
        <f t="shared" si="45"/>
        <v>704</v>
      </c>
      <c r="F415" s="101">
        <v>704</v>
      </c>
      <c r="G415" s="140"/>
      <c r="H415" s="64">
        <f>E415/'Erkrankungs- und Strukturdaten'!$C$7</f>
        <v>1280</v>
      </c>
      <c r="I415" s="64">
        <f t="shared" si="46"/>
        <v>571412</v>
      </c>
      <c r="J415" s="64">
        <f t="shared" si="47"/>
        <v>0</v>
      </c>
      <c r="K415" s="101">
        <f>IFERROR(IF(D415=_Datum,Prognoseparameter!$C$14,
IF(_WachstumsrateKURZ="Bundesweit",IF(D415&gt;_Datum,
         K414+AVERAGE(F411:F414)*(1+_WR)*(1-(K414-VLOOKUP('Erkrankungs- und Strukturdaten'!$C$45,$D:$M,$K$1,FALSE))/$B$16),
         K416-$B$23*F416),
IF(D415&gt;_Datum,K414+G415,IF(G416="",K416/(K416^(1/N415)),K416-G416)))),"")</f>
        <v>0</v>
      </c>
      <c r="L415" s="64">
        <f>I415/'Erkrankungs- und Strukturdaten'!$C$7</f>
        <v>1038930.9090909091</v>
      </c>
      <c r="M415" s="65">
        <f t="shared" si="48"/>
        <v>1.2335555135025266E-3</v>
      </c>
      <c r="N415" s="163">
        <v>217</v>
      </c>
      <c r="O415" s="222">
        <f t="shared" si="49"/>
        <v>1</v>
      </c>
    </row>
    <row r="416" spans="4:15" x14ac:dyDescent="0.2">
      <c r="D416" s="86">
        <v>44270</v>
      </c>
      <c r="E416" s="64">
        <f t="shared" si="45"/>
        <v>1920</v>
      </c>
      <c r="F416" s="101">
        <v>1920</v>
      </c>
      <c r="G416" s="140"/>
      <c r="H416" s="64">
        <f>E416/'Erkrankungs- und Strukturdaten'!$C$7</f>
        <v>3490.9090909090905</v>
      </c>
      <c r="I416" s="64">
        <f t="shared" si="46"/>
        <v>573332</v>
      </c>
      <c r="J416" s="64">
        <f t="shared" si="47"/>
        <v>0</v>
      </c>
      <c r="K416" s="101">
        <f>IFERROR(IF(D416=_Datum,Prognoseparameter!$C$14,
IF(_WachstumsrateKURZ="Bundesweit",IF(D416&gt;_Datum,
         K415+AVERAGE(F412:F415)*(1+_WR)*(1-(K415-VLOOKUP('Erkrankungs- und Strukturdaten'!$C$45,$D:$M,$K$1,FALSE))/$B$16),
         K417-$B$23*F417),
IF(D416&gt;_Datum,K415+G416,IF(G417="",K417/(K417^(1/N416)),K417-G417)))),"")</f>
        <v>0</v>
      </c>
      <c r="L416" s="64">
        <f>I416/'Erkrankungs- und Strukturdaten'!$C$7</f>
        <v>1042421.8181818181</v>
      </c>
      <c r="M416" s="65">
        <f t="shared" si="48"/>
        <v>3.3600974428258418E-3</v>
      </c>
      <c r="N416" s="163">
        <v>217</v>
      </c>
      <c r="O416" s="222">
        <f t="shared" si="49"/>
        <v>1</v>
      </c>
    </row>
    <row r="417" spans="4:15" x14ac:dyDescent="0.2">
      <c r="D417" s="86">
        <v>44271</v>
      </c>
      <c r="E417" s="64">
        <f t="shared" si="45"/>
        <v>1651</v>
      </c>
      <c r="F417" s="101">
        <v>1651</v>
      </c>
      <c r="G417" s="140"/>
      <c r="H417" s="64">
        <f>E417/'Erkrankungs- und Strukturdaten'!$C$7</f>
        <v>3001.8181818181815</v>
      </c>
      <c r="I417" s="64">
        <f t="shared" si="46"/>
        <v>574983</v>
      </c>
      <c r="J417" s="64">
        <f t="shared" si="47"/>
        <v>0</v>
      </c>
      <c r="K417" s="101">
        <f>IFERROR(IF(D417=_Datum,Prognoseparameter!$C$14,
IF(_WachstumsrateKURZ="Bundesweit",IF(D417&gt;_Datum,
         K416+AVERAGE(F413:F416)*(1+_WR)*(1-(K416-VLOOKUP('Erkrankungs- und Strukturdaten'!$C$45,$D:$M,$K$1,FALSE))/$B$16),
         K418-$B$23*F418),
IF(D417&gt;_Datum,K416+G417,IF(G418="",K418/(K418^(1/N417)),K418-G418)))),"")</f>
        <v>0</v>
      </c>
      <c r="L417" s="64">
        <f>I417/'Erkrankungs- und Strukturdaten'!$C$7</f>
        <v>1045423.6363636362</v>
      </c>
      <c r="M417" s="65">
        <f t="shared" si="48"/>
        <v>2.879657859669441E-3</v>
      </c>
      <c r="N417" s="163">
        <v>217</v>
      </c>
      <c r="O417" s="222">
        <f t="shared" si="49"/>
        <v>1</v>
      </c>
    </row>
    <row r="418" spans="4:15" x14ac:dyDescent="0.2">
      <c r="D418" s="86">
        <v>44272</v>
      </c>
      <c r="E418" s="64">
        <f t="shared" si="45"/>
        <v>1826</v>
      </c>
      <c r="F418" s="101">
        <v>1826</v>
      </c>
      <c r="G418" s="140"/>
      <c r="H418" s="64">
        <f>E418/'Erkrankungs- und Strukturdaten'!$C$7</f>
        <v>3319.9999999999995</v>
      </c>
      <c r="I418" s="64">
        <f t="shared" si="46"/>
        <v>576809</v>
      </c>
      <c r="J418" s="64">
        <f t="shared" si="47"/>
        <v>0</v>
      </c>
      <c r="K418" s="101">
        <f>IFERROR(IF(D418=_Datum,Prognoseparameter!$C$14,
IF(_WachstumsrateKURZ="Bundesweit",IF(D418&gt;_Datum,
         K417+AVERAGE(F414:F417)*(1+_WR)*(1-(K417-VLOOKUP('Erkrankungs- und Strukturdaten'!$C$45,$D:$M,$K$1,FALSE))/$B$16),
         K419-$B$23*F419),
IF(D418&gt;_Datum,K417+G418,IF(G419="",K419/(K419^(1/N418)),K419-G419)))),"")</f>
        <v>0</v>
      </c>
      <c r="L418" s="64">
        <f>I418/'Erkrankungs- und Strukturdaten'!$C$7</f>
        <v>1048743.6363636362</v>
      </c>
      <c r="M418" s="65">
        <f t="shared" si="48"/>
        <v>3.1757460655358507E-3</v>
      </c>
      <c r="N418" s="163">
        <v>217</v>
      </c>
      <c r="O418" s="222">
        <f t="shared" si="49"/>
        <v>1</v>
      </c>
    </row>
    <row r="419" spans="4:15" x14ac:dyDescent="0.2">
      <c r="D419" s="86">
        <v>44273</v>
      </c>
      <c r="E419" s="64">
        <f t="shared" si="45"/>
        <v>1646</v>
      </c>
      <c r="F419" s="101">
        <v>1646</v>
      </c>
      <c r="G419" s="140"/>
      <c r="H419" s="64">
        <f>E419/'Erkrankungs- und Strukturdaten'!$C$7</f>
        <v>2992.7272727272725</v>
      </c>
      <c r="I419" s="64">
        <f t="shared" si="46"/>
        <v>578455</v>
      </c>
      <c r="J419" s="64">
        <f t="shared" si="47"/>
        <v>0</v>
      </c>
      <c r="K419" s="101">
        <f>IFERROR(IF(D419=_Datum,Prognoseparameter!$C$14,
IF(_WachstumsrateKURZ="Bundesweit",IF(D419&gt;_Datum,
         K418+AVERAGE(F415:F418)*(1+_WR)*(1-(K418-VLOOKUP('Erkrankungs- und Strukturdaten'!$C$45,$D:$M,$K$1,FALSE))/$B$16),
         K420-$B$23*F420),
IF(D419&gt;_Datum,K418+G419,IF(G420="",K420/(K420^(1/N419)),K420-G420)))),"")</f>
        <v>0</v>
      </c>
      <c r="L419" s="64">
        <f>I419/'Erkrankungs- und Strukturdaten'!$C$7</f>
        <v>1051736.3636363635</v>
      </c>
      <c r="M419" s="65">
        <f t="shared" si="48"/>
        <v>2.853630924621495E-3</v>
      </c>
      <c r="N419" s="163">
        <v>217</v>
      </c>
      <c r="O419" s="222">
        <f t="shared" si="49"/>
        <v>1</v>
      </c>
    </row>
    <row r="420" spans="4:15" x14ac:dyDescent="0.2">
      <c r="D420" s="86">
        <v>44274</v>
      </c>
      <c r="E420" s="64">
        <f t="shared" si="45"/>
        <v>1544</v>
      </c>
      <c r="F420" s="101">
        <v>1544</v>
      </c>
      <c r="G420" s="140"/>
      <c r="H420" s="64">
        <f>E420/'Erkrankungs- und Strukturdaten'!$C$7</f>
        <v>2807.272727272727</v>
      </c>
      <c r="I420" s="64">
        <f t="shared" si="46"/>
        <v>579999</v>
      </c>
      <c r="J420" s="64">
        <f t="shared" si="47"/>
        <v>0</v>
      </c>
      <c r="K420" s="101">
        <f>IFERROR(IF(D420=_Datum,Prognoseparameter!$C$14,
IF(_WachstumsrateKURZ="Bundesweit",IF(D420&gt;_Datum,
         K419+AVERAGE(F416:F419)*(1+_WR)*(1-(K419-VLOOKUP('Erkrankungs- und Strukturdaten'!$C$45,$D:$M,$K$1,FALSE))/$B$16),
         K421-$B$23*F421),
IF(D420&gt;_Datum,K419+G420,IF(G421="",K421/(K421^(1/N420)),K421-G421)))),"")</f>
        <v>0</v>
      </c>
      <c r="L420" s="64">
        <f>I420/'Erkrankungs- und Strukturdaten'!$C$7</f>
        <v>1054543.6363636362</v>
      </c>
      <c r="M420" s="65">
        <f t="shared" si="48"/>
        <v>2.6691791064127721E-3</v>
      </c>
      <c r="N420" s="163">
        <v>217</v>
      </c>
      <c r="O420" s="222">
        <f t="shared" si="49"/>
        <v>1</v>
      </c>
    </row>
    <row r="421" spans="4:15" x14ac:dyDescent="0.2">
      <c r="D421" s="86">
        <v>44275</v>
      </c>
      <c r="E421" s="64">
        <f t="shared" si="45"/>
        <v>1111</v>
      </c>
      <c r="F421" s="101">
        <v>1111</v>
      </c>
      <c r="G421" s="140"/>
      <c r="H421" s="64">
        <f>E421/'Erkrankungs- und Strukturdaten'!$C$7</f>
        <v>2019.9999999999998</v>
      </c>
      <c r="I421" s="64">
        <f t="shared" si="46"/>
        <v>581110</v>
      </c>
      <c r="J421" s="64">
        <f t="shared" si="47"/>
        <v>0</v>
      </c>
      <c r="K421" s="101">
        <f>IFERROR(IF(D421=_Datum,Prognoseparameter!$C$14,
IF(_WachstumsrateKURZ="Bundesweit",IF(D421&gt;_Datum,
         K420+AVERAGE(F417:F420)*(1+_WR)*(1-(K420-VLOOKUP('Erkrankungs- und Strukturdaten'!$C$45,$D:$M,$K$1,FALSE))/$B$16),
         K422-$B$23*F422),
IF(D421&gt;_Datum,K420+G421,IF(G422="",K422/(K422^(1/N421)),K422-G422)))),"")</f>
        <v>0</v>
      </c>
      <c r="L421" s="64">
        <f>I421/'Erkrankungs- und Strukturdaten'!$C$7</f>
        <v>1056563.6363636362</v>
      </c>
      <c r="M421" s="65">
        <f t="shared" si="48"/>
        <v>1.915520544000938E-3</v>
      </c>
      <c r="N421" s="163">
        <v>217</v>
      </c>
      <c r="O421" s="222">
        <f t="shared" si="49"/>
        <v>1</v>
      </c>
    </row>
    <row r="422" spans="4:15" x14ac:dyDescent="0.2">
      <c r="D422" s="86">
        <v>44276</v>
      </c>
      <c r="E422" s="64">
        <f t="shared" si="45"/>
        <v>787</v>
      </c>
      <c r="F422" s="101">
        <v>787</v>
      </c>
      <c r="G422" s="140"/>
      <c r="H422" s="64">
        <f>E422/'Erkrankungs- und Strukturdaten'!$C$7</f>
        <v>1430.9090909090908</v>
      </c>
      <c r="I422" s="64">
        <f t="shared" si="46"/>
        <v>581897</v>
      </c>
      <c r="J422" s="64">
        <f t="shared" si="47"/>
        <v>0</v>
      </c>
      <c r="K422" s="101">
        <f>IFERROR(IF(D422=_Datum,Prognoseparameter!$C$14,
IF(_WachstumsrateKURZ="Bundesweit",IF(D422&gt;_Datum,
         K421+AVERAGE(F418:F421)*(1+_WR)*(1-(K421-VLOOKUP('Erkrankungs- und Strukturdaten'!$C$45,$D:$M,$K$1,FALSE))/$B$16),
         K423-$B$23*F423),
IF(D422&gt;_Datum,K421+G422,IF(G423="",K423/(K423^(1/N422)),K423-G423)))),"")</f>
        <v>0</v>
      </c>
      <c r="L422" s="64">
        <f>I422/'Erkrankungs- und Strukturdaten'!$C$7</f>
        <v>1057994.5454545454</v>
      </c>
      <c r="M422" s="65">
        <f t="shared" si="48"/>
        <v>1.3543046927431983E-3</v>
      </c>
      <c r="N422" s="163">
        <v>217</v>
      </c>
      <c r="O422" s="222">
        <f t="shared" si="49"/>
        <v>1</v>
      </c>
    </row>
    <row r="423" spans="4:15" x14ac:dyDescent="0.2">
      <c r="D423" s="86">
        <v>44277</v>
      </c>
      <c r="E423" s="64">
        <f t="shared" si="45"/>
        <v>2262</v>
      </c>
      <c r="F423" s="101">
        <v>2262</v>
      </c>
      <c r="G423" s="140"/>
      <c r="H423" s="64">
        <f>E423/'Erkrankungs- und Strukturdaten'!$C$7</f>
        <v>4112.7272727272721</v>
      </c>
      <c r="I423" s="64">
        <f t="shared" si="46"/>
        <v>584159</v>
      </c>
      <c r="J423" s="64">
        <f t="shared" si="47"/>
        <v>0</v>
      </c>
      <c r="K423" s="101">
        <f>IFERROR(IF(D423=_Datum,Prognoseparameter!$C$14,
IF(_WachstumsrateKURZ="Bundesweit",IF(D423&gt;_Datum,
         K422+AVERAGE(F419:F422)*(1+_WR)*(1-(K422-VLOOKUP('Erkrankungs- und Strukturdaten'!$C$45,$D:$M,$K$1,FALSE))/$B$16),
         K424-$B$23*F424),
IF(D423&gt;_Datum,K422+G423,IF(G424="",K424/(K424^(1/N423)),K424-G424)))),"")</f>
        <v>0</v>
      </c>
      <c r="L423" s="64">
        <f>I423/'Erkrankungs- und Strukturdaten'!$C$7</f>
        <v>1062107.2727272727</v>
      </c>
      <c r="M423" s="65">
        <f t="shared" si="48"/>
        <v>3.8872858942390147E-3</v>
      </c>
      <c r="N423" s="163">
        <v>217</v>
      </c>
      <c r="O423" s="222">
        <f t="shared" si="49"/>
        <v>1</v>
      </c>
    </row>
    <row r="424" spans="4:15" x14ac:dyDescent="0.2">
      <c r="D424" s="86">
        <v>44278</v>
      </c>
      <c r="E424" s="64">
        <f t="shared" si="45"/>
        <v>1994</v>
      </c>
      <c r="F424" s="101">
        <v>1994</v>
      </c>
      <c r="G424" s="140"/>
      <c r="H424" s="64">
        <f>E424/'Erkrankungs- und Strukturdaten'!$C$7</f>
        <v>3625.454545454545</v>
      </c>
      <c r="I424" s="64">
        <f t="shared" si="46"/>
        <v>586153</v>
      </c>
      <c r="J424" s="64">
        <f t="shared" si="47"/>
        <v>0</v>
      </c>
      <c r="K424" s="101">
        <f>IFERROR(IF(D424=_Datum,Prognoseparameter!$C$14,
IF(_WachstumsrateKURZ="Bundesweit",IF(D424&gt;_Datum,
         K423+AVERAGE(F420:F423)*(1+_WR)*(1-(K423-VLOOKUP('Erkrankungs- und Strukturdaten'!$C$45,$D:$M,$K$1,FALSE))/$B$16),
         K425-$B$23*F425),
IF(D424&gt;_Datum,K423+G424,IF(G425="",K425/(K425^(1/N424)),K425-G425)))),"")</f>
        <v>0</v>
      </c>
      <c r="L424" s="64">
        <f>I424/'Erkrankungs- und Strukturdaten'!$C$7</f>
        <v>1065732.7272727273</v>
      </c>
      <c r="M424" s="65">
        <f t="shared" si="48"/>
        <v>3.4134542136644306E-3</v>
      </c>
      <c r="N424" s="163">
        <v>217</v>
      </c>
      <c r="O424" s="222">
        <f t="shared" si="49"/>
        <v>1</v>
      </c>
    </row>
    <row r="425" spans="4:15" x14ac:dyDescent="0.2">
      <c r="D425" s="86">
        <v>44279</v>
      </c>
      <c r="E425" s="64">
        <f t="shared" si="45"/>
        <v>1930</v>
      </c>
      <c r="F425" s="101">
        <v>1930</v>
      </c>
      <c r="G425" s="140"/>
      <c r="H425" s="64">
        <f>E425/'Erkrankungs- und Strukturdaten'!$C$7</f>
        <v>3509.090909090909</v>
      </c>
      <c r="I425" s="64">
        <f t="shared" si="46"/>
        <v>588083</v>
      </c>
      <c r="J425" s="64">
        <f t="shared" si="47"/>
        <v>0</v>
      </c>
      <c r="K425" s="101">
        <f>IFERROR(IF(D425=_Datum,Prognoseparameter!$C$14,
IF(_WachstumsrateKURZ="Bundesweit",IF(D425&gt;_Datum,
         K424+AVERAGE(F421:F424)*(1+_WR)*(1-(K424-VLOOKUP('Erkrankungs- und Strukturdaten'!$C$45,$D:$M,$K$1,FALSE))/$B$16),
         K426-$B$23*F426),
IF(D425&gt;_Datum,K424+G425,IF(G426="",K426/(K426^(1/N425)),K426-G426)))),"")</f>
        <v>0</v>
      </c>
      <c r="L425" s="64">
        <f>I425/'Erkrankungs- und Strukturdaten'!$C$7</f>
        <v>1069241.8181818181</v>
      </c>
      <c r="M425" s="65">
        <f t="shared" si="48"/>
        <v>3.2926556718126496E-3</v>
      </c>
      <c r="N425" s="163">
        <v>217</v>
      </c>
      <c r="O425" s="222">
        <f t="shared" si="49"/>
        <v>1</v>
      </c>
    </row>
    <row r="426" spans="4:15" x14ac:dyDescent="0.2">
      <c r="D426" s="86">
        <v>44280</v>
      </c>
      <c r="E426" s="64">
        <f t="shared" si="45"/>
        <v>2140</v>
      </c>
      <c r="F426" s="101">
        <v>2140</v>
      </c>
      <c r="G426" s="140"/>
      <c r="H426" s="64">
        <f>E426/'Erkrankungs- und Strukturdaten'!$C$7</f>
        <v>3890.9090909090905</v>
      </c>
      <c r="I426" s="64">
        <f t="shared" si="46"/>
        <v>590223</v>
      </c>
      <c r="J426" s="64">
        <f t="shared" si="47"/>
        <v>0</v>
      </c>
      <c r="K426" s="101">
        <f>IFERROR(IF(D426=_Datum,Prognoseparameter!$C$14,
IF(_WachstumsrateKURZ="Bundesweit",IF(D426&gt;_Datum,
         K425+AVERAGE(F422:F425)*(1+_WR)*(1-(K425-VLOOKUP('Erkrankungs- und Strukturdaten'!$C$45,$D:$M,$K$1,FALSE))/$B$16),
         K427-$B$23*F427),
IF(D426&gt;_Datum,K425+G426,IF(G427="",K427/(K427^(1/N426)),K427-G427)))),"")</f>
        <v>0</v>
      </c>
      <c r="L426" s="64">
        <f>I426/'Erkrankungs- und Strukturdaten'!$C$7</f>
        <v>1073132.7272727273</v>
      </c>
      <c r="M426" s="65">
        <f t="shared" si="48"/>
        <v>3.6389421221154155E-3</v>
      </c>
      <c r="N426" s="163">
        <v>217</v>
      </c>
      <c r="O426" s="222">
        <f t="shared" si="49"/>
        <v>1</v>
      </c>
    </row>
    <row r="427" spans="4:15" x14ac:dyDescent="0.2">
      <c r="D427" s="86">
        <v>44281</v>
      </c>
      <c r="E427" s="64">
        <f t="shared" si="45"/>
        <v>1997</v>
      </c>
      <c r="F427" s="101">
        <v>1997</v>
      </c>
      <c r="G427" s="140"/>
      <c r="H427" s="64">
        <f>E427/'Erkrankungs- und Strukturdaten'!$C$7</f>
        <v>3630.9090909090905</v>
      </c>
      <c r="I427" s="64">
        <f t="shared" si="46"/>
        <v>592220</v>
      </c>
      <c r="J427" s="64">
        <f t="shared" si="47"/>
        <v>0</v>
      </c>
      <c r="K427" s="101">
        <f>IFERROR(IF(D427=_Datum,Prognoseparameter!$C$14,
IF(_WachstumsrateKURZ="Bundesweit",IF(D427&gt;_Datum,
         K426+AVERAGE(F423:F426)*(1+_WR)*(1-(K426-VLOOKUP('Erkrankungs- und Strukturdaten'!$C$45,$D:$M,$K$1,FALSE))/$B$16),
         K428-$B$23*F428),
IF(D427&gt;_Datum,K426+G427,IF(G428="",K428/(K428^(1/N427)),K428-G428)))),"")</f>
        <v>0</v>
      </c>
      <c r="L427" s="64">
        <f>I427/'Erkrankungs- und Strukturdaten'!$C$7</f>
        <v>1076763.6363636362</v>
      </c>
      <c r="M427" s="65">
        <f t="shared" si="48"/>
        <v>3.3834669269072874E-3</v>
      </c>
      <c r="N427" s="163">
        <v>217</v>
      </c>
      <c r="O427" s="222">
        <f t="shared" si="49"/>
        <v>1</v>
      </c>
    </row>
    <row r="428" spans="4:15" x14ac:dyDescent="0.2">
      <c r="D428" s="86">
        <v>44282</v>
      </c>
      <c r="E428" s="64">
        <f t="shared" si="45"/>
        <v>1208</v>
      </c>
      <c r="F428" s="101">
        <v>1208</v>
      </c>
      <c r="G428" s="140"/>
      <c r="H428" s="64">
        <f>E428/'Erkrankungs- und Strukturdaten'!$C$7</f>
        <v>2196.363636363636</v>
      </c>
      <c r="I428" s="64">
        <f t="shared" si="46"/>
        <v>593428</v>
      </c>
      <c r="J428" s="64">
        <f t="shared" si="47"/>
        <v>0</v>
      </c>
      <c r="K428" s="101">
        <f>IFERROR(IF(D428=_Datum,Prognoseparameter!$C$14,
IF(_WachstumsrateKURZ="Bundesweit",IF(D428&gt;_Datum,
         K427+AVERAGE(F424:F427)*(1+_WR)*(1-(K427-VLOOKUP('Erkrankungs- und Strukturdaten'!$C$45,$D:$M,$K$1,FALSE))/$B$16),
         K429-$B$23*F429),
IF(D428&gt;_Datum,K427+G428,IF(G429="",K429/(K429^(1/N428)),K429-G429)))),"")</f>
        <v>0</v>
      </c>
      <c r="L428" s="64">
        <f>I428/'Erkrankungs- und Strukturdaten'!$C$7</f>
        <v>1078960</v>
      </c>
      <c r="M428" s="65">
        <f t="shared" si="48"/>
        <v>2.0397825132552091E-3</v>
      </c>
      <c r="N428" s="163">
        <v>217</v>
      </c>
      <c r="O428" s="222">
        <f t="shared" si="49"/>
        <v>1</v>
      </c>
    </row>
    <row r="429" spans="4:15" x14ac:dyDescent="0.2">
      <c r="D429" s="86">
        <v>44283</v>
      </c>
      <c r="E429" s="64">
        <f t="shared" si="45"/>
        <v>996</v>
      </c>
      <c r="F429" s="101">
        <v>996</v>
      </c>
      <c r="G429" s="140"/>
      <c r="H429" s="64">
        <f>E429/'Erkrankungs- und Strukturdaten'!$C$7</f>
        <v>1810.9090909090908</v>
      </c>
      <c r="I429" s="64">
        <f t="shared" si="46"/>
        <v>594424</v>
      </c>
      <c r="J429" s="64">
        <f t="shared" si="47"/>
        <v>0</v>
      </c>
      <c r="K429" s="101">
        <f>IFERROR(IF(D429=_Datum,Prognoseparameter!$C$14,
IF(_WachstumsrateKURZ="Bundesweit",IF(D429&gt;_Datum,
         K428+AVERAGE(F425:F428)*(1+_WR)*(1-(K428-VLOOKUP('Erkrankungs- und Strukturdaten'!$C$45,$D:$M,$K$1,FALSE))/$B$16),
         K430-$B$23*F430),
IF(D429&gt;_Datum,K428+G429,IF(G430="",K430/(K430^(1/N429)),K430-G430)))),"")</f>
        <v>0</v>
      </c>
      <c r="L429" s="64">
        <f>I429/'Erkrankungs- und Strukturdaten'!$C$7</f>
        <v>1080770.9090909089</v>
      </c>
      <c r="M429" s="65">
        <f t="shared" si="48"/>
        <v>1.6783838982993725E-3</v>
      </c>
      <c r="N429" s="163">
        <v>217</v>
      </c>
      <c r="O429" s="222">
        <f t="shared" si="49"/>
        <v>1</v>
      </c>
    </row>
    <row r="430" spans="4:15" x14ac:dyDescent="0.2">
      <c r="D430" s="86">
        <v>44284</v>
      </c>
      <c r="E430" s="64">
        <f t="shared" si="45"/>
        <v>2532</v>
      </c>
      <c r="F430" s="101">
        <v>2532</v>
      </c>
      <c r="G430" s="140"/>
      <c r="H430" s="64">
        <f>E430/'Erkrankungs- und Strukturdaten'!$C$7</f>
        <v>4603.6363636363631</v>
      </c>
      <c r="I430" s="64">
        <f t="shared" si="46"/>
        <v>596956</v>
      </c>
      <c r="J430" s="64">
        <f t="shared" si="47"/>
        <v>0</v>
      </c>
      <c r="K430" s="101">
        <f>IFERROR(IF(D430=_Datum,Prognoseparameter!$C$14,
IF(_WachstumsrateKURZ="Bundesweit",IF(D430&gt;_Datum,
         K429+AVERAGE(F426:F429)*(1+_WR)*(1-(K429-VLOOKUP('Erkrankungs- und Strukturdaten'!$C$45,$D:$M,$K$1,FALSE))/$B$16),
         K431-$B$23*F431),
IF(D430&gt;_Datum,K429+G430,IF(G431="",K431/(K431^(1/N430)),K431-G431)))),"")</f>
        <v>0</v>
      </c>
      <c r="L430" s="64">
        <f>I430/'Erkrankungs- und Strukturdaten'!$C$7</f>
        <v>1085374.5454545454</v>
      </c>
      <c r="M430" s="65">
        <f t="shared" si="48"/>
        <v>4.2595857502388864E-3</v>
      </c>
      <c r="N430" s="163">
        <v>217</v>
      </c>
      <c r="O430" s="222">
        <f t="shared" si="49"/>
        <v>1</v>
      </c>
    </row>
    <row r="431" spans="4:15" x14ac:dyDescent="0.2">
      <c r="D431" s="86">
        <v>44285</v>
      </c>
      <c r="E431" s="64">
        <f t="shared" si="45"/>
        <v>2093</v>
      </c>
      <c r="F431" s="101">
        <v>2093</v>
      </c>
      <c r="G431" s="140"/>
      <c r="H431" s="64">
        <f>E431/'Erkrankungs- und Strukturdaten'!$C$7</f>
        <v>3805.454545454545</v>
      </c>
      <c r="I431" s="64">
        <f t="shared" si="46"/>
        <v>599049</v>
      </c>
      <c r="J431" s="64">
        <f t="shared" si="47"/>
        <v>0</v>
      </c>
      <c r="K431" s="101">
        <f>IFERROR(IF(D431=_Datum,Prognoseparameter!$C$14,
IF(_WachstumsrateKURZ="Bundesweit",IF(D431&gt;_Datum,
         K430+AVERAGE(F427:F430)*(1+_WR)*(1-(K430-VLOOKUP('Erkrankungs- und Strukturdaten'!$C$45,$D:$M,$K$1,FALSE))/$B$16),
         K432-$B$23*F432),
IF(D431&gt;_Datum,K430+G431,IF(G432="",K432/(K432^(1/N431)),K432-G432)))),"")</f>
        <v>0</v>
      </c>
      <c r="L431" s="64">
        <f>I431/'Erkrankungs- und Strukturdaten'!$C$7</f>
        <v>1089180</v>
      </c>
      <c r="M431" s="65">
        <f t="shared" si="48"/>
        <v>3.5061210541480446E-3</v>
      </c>
      <c r="N431" s="163">
        <v>217</v>
      </c>
      <c r="O431" s="222">
        <f t="shared" si="49"/>
        <v>1</v>
      </c>
    </row>
    <row r="432" spans="4:15" x14ac:dyDescent="0.2">
      <c r="D432" s="86">
        <v>44286</v>
      </c>
      <c r="E432" s="64">
        <f t="shared" si="45"/>
        <v>2132</v>
      </c>
      <c r="F432" s="101">
        <v>2132</v>
      </c>
      <c r="G432" s="140"/>
      <c r="H432" s="64">
        <f>E432/'Erkrankungs- und Strukturdaten'!$C$7</f>
        <v>3876.363636363636</v>
      </c>
      <c r="I432" s="64">
        <f t="shared" si="46"/>
        <v>601181</v>
      </c>
      <c r="J432" s="64">
        <f t="shared" si="47"/>
        <v>0</v>
      </c>
      <c r="K432" s="101">
        <f>IFERROR(IF(D432=_Datum,Prognoseparameter!$C$14,
IF(_WachstumsrateKURZ="Bundesweit",IF(D432&gt;_Datum,
         K431+AVERAGE(F428:F431)*(1+_WR)*(1-(K431-VLOOKUP('Erkrankungs- und Strukturdaten'!$C$45,$D:$M,$K$1,FALSE))/$B$16),
         K433-$B$23*F433),
IF(D432&gt;_Datum,K431+G432,IF(G433="",K433/(K433^(1/N432)),K433-G433)))),"")</f>
        <v>0</v>
      </c>
      <c r="L432" s="64">
        <f>I432/'Erkrankungs- und Strukturdaten'!$C$7</f>
        <v>1093056.3636363635</v>
      </c>
      <c r="M432" s="65">
        <f t="shared" si="48"/>
        <v>3.5589743076108967E-3</v>
      </c>
      <c r="N432" s="163">
        <v>217</v>
      </c>
      <c r="O432" s="222">
        <f t="shared" si="49"/>
        <v>1</v>
      </c>
    </row>
    <row r="433" spans="4:15" x14ac:dyDescent="0.2">
      <c r="D433" s="86">
        <v>44287</v>
      </c>
      <c r="E433" s="64">
        <f t="shared" si="45"/>
        <v>1984</v>
      </c>
      <c r="F433" s="101">
        <v>1984</v>
      </c>
      <c r="G433" s="140"/>
      <c r="H433" s="64">
        <f>E433/'Erkrankungs- und Strukturdaten'!$C$7</f>
        <v>3607.272727272727</v>
      </c>
      <c r="I433" s="64">
        <f t="shared" si="46"/>
        <v>603165</v>
      </c>
      <c r="J433" s="64">
        <f t="shared" si="47"/>
        <v>0</v>
      </c>
      <c r="K433" s="101">
        <f>IFERROR(IF(D433=_Datum,Prognoseparameter!$C$14,
IF(_WachstumsrateKURZ="Bundesweit",IF(D433&gt;_Datum,
         K432+AVERAGE(F429:F432)*(1+_WR)*(1-(K432-VLOOKUP('Erkrankungs- und Strukturdaten'!$C$45,$D:$M,$K$1,FALSE))/$B$16),
         K434-$B$23*F434),
IF(D433&gt;_Datum,K432+G433,IF(G434="",K434/(K434^(1/N433)),K434-G434)))),"")</f>
        <v>0</v>
      </c>
      <c r="L433" s="64">
        <f>I433/'Erkrankungs- und Strukturdaten'!$C$7</f>
        <v>1096663.6363636362</v>
      </c>
      <c r="M433" s="65">
        <f t="shared" si="48"/>
        <v>3.3001708304154654E-3</v>
      </c>
      <c r="N433" s="163">
        <v>217</v>
      </c>
      <c r="O433" s="222">
        <f t="shared" si="49"/>
        <v>1</v>
      </c>
    </row>
    <row r="434" spans="4:15" x14ac:dyDescent="0.2">
      <c r="D434" s="86">
        <v>44288</v>
      </c>
      <c r="E434" s="64">
        <f t="shared" si="45"/>
        <v>1199</v>
      </c>
      <c r="F434" s="101">
        <v>1199</v>
      </c>
      <c r="G434" s="140"/>
      <c r="H434" s="64">
        <f>E434/'Erkrankungs- und Strukturdaten'!$C$7</f>
        <v>2180</v>
      </c>
      <c r="I434" s="64">
        <f t="shared" si="46"/>
        <v>604364</v>
      </c>
      <c r="J434" s="64">
        <f t="shared" si="47"/>
        <v>0</v>
      </c>
      <c r="K434" s="101">
        <f>IFERROR(IF(D434=_Datum,Prognoseparameter!$C$14,
IF(_WachstumsrateKURZ="Bundesweit",IF(D434&gt;_Datum,
         K433+AVERAGE(F430:F433)*(1+_WR)*(1-(K433-VLOOKUP('Erkrankungs- und Strukturdaten'!$C$45,$D:$M,$K$1,FALSE))/$B$16),
         K435-$B$23*F435),
IF(D434&gt;_Datum,K433+G434,IF(G435="",K435/(K435^(1/N434)),K435-G435)))),"")</f>
        <v>0</v>
      </c>
      <c r="L434" s="64">
        <f>I434/'Erkrankungs- und Strukturdaten'!$C$7</f>
        <v>1098843.6363636362</v>
      </c>
      <c r="M434" s="65">
        <f t="shared" si="48"/>
        <v>1.9878474380973696E-3</v>
      </c>
      <c r="N434" s="163">
        <v>217</v>
      </c>
      <c r="O434" s="222">
        <f t="shared" si="49"/>
        <v>1</v>
      </c>
    </row>
    <row r="435" spans="4:15" x14ac:dyDescent="0.2">
      <c r="D435" s="86">
        <v>44289</v>
      </c>
      <c r="E435" s="64">
        <f t="shared" si="45"/>
        <v>1316</v>
      </c>
      <c r="F435" s="101">
        <v>1316</v>
      </c>
      <c r="G435" s="140"/>
      <c r="H435" s="64">
        <f>E435/'Erkrankungs- und Strukturdaten'!$C$7</f>
        <v>2392.7272727272725</v>
      </c>
      <c r="I435" s="64">
        <f t="shared" si="46"/>
        <v>605680</v>
      </c>
      <c r="J435" s="64">
        <f t="shared" si="47"/>
        <v>0</v>
      </c>
      <c r="K435" s="101">
        <f>IFERROR(IF(D435=_Datum,Prognoseparameter!$C$14,
IF(_WachstumsrateKURZ="Bundesweit",IF(D435&gt;_Datum,
         K434+AVERAGE(F431:F434)*(1+_WR)*(1-(K434-VLOOKUP('Erkrankungs- und Strukturdaten'!$C$45,$D:$M,$K$1,FALSE))/$B$16),
         K436-$B$23*F436),
IF(D435&gt;_Datum,K434+G435,IF(G436="",K436/(K436^(1/N435)),K436-G436)))),"")</f>
        <v>0</v>
      </c>
      <c r="L435" s="64">
        <f>I435/'Erkrankungs- und Strukturdaten'!$C$7</f>
        <v>1101236.3636363635</v>
      </c>
      <c r="M435" s="65">
        <f t="shared" si="48"/>
        <v>2.1774956814105406E-3</v>
      </c>
      <c r="N435" s="163">
        <v>217</v>
      </c>
      <c r="O435" s="222">
        <f t="shared" si="49"/>
        <v>1</v>
      </c>
    </row>
    <row r="436" spans="4:15" x14ac:dyDescent="0.2">
      <c r="D436" s="86">
        <v>44290</v>
      </c>
      <c r="E436" s="64">
        <f t="shared" si="45"/>
        <v>1020</v>
      </c>
      <c r="F436" s="101">
        <v>1020</v>
      </c>
      <c r="G436" s="140"/>
      <c r="H436" s="64">
        <f>E436/'Erkrankungs- und Strukturdaten'!$C$7</f>
        <v>1854.5454545454545</v>
      </c>
      <c r="I436" s="64">
        <f t="shared" si="46"/>
        <v>606700</v>
      </c>
      <c r="J436" s="64">
        <f t="shared" si="47"/>
        <v>0</v>
      </c>
      <c r="K436" s="101">
        <f>IFERROR(IF(D436=_Datum,Prognoseparameter!$C$14,
IF(_WachstumsrateKURZ="Bundesweit",IF(D436&gt;_Datum,
         K435+AVERAGE(F432:F435)*(1+_WR)*(1-(K435-VLOOKUP('Erkrankungs- und Strukturdaten'!$C$45,$D:$M,$K$1,FALSE))/$B$16),
         K437-$B$23*F437),
IF(D436&gt;_Datum,K435+G436,IF(G437="",K437/(K437^(1/N436)),K437-G437)))),"")</f>
        <v>0</v>
      </c>
      <c r="L436" s="64">
        <f>I436/'Erkrankungs- und Strukturdaten'!$C$7</f>
        <v>1103090.9090909089</v>
      </c>
      <c r="M436" s="65">
        <f t="shared" si="48"/>
        <v>1.6840575881653678E-3</v>
      </c>
      <c r="N436" s="163">
        <v>217</v>
      </c>
      <c r="O436" s="222">
        <f t="shared" si="49"/>
        <v>1</v>
      </c>
    </row>
    <row r="437" spans="4:15" x14ac:dyDescent="0.2">
      <c r="D437" s="86">
        <v>44291</v>
      </c>
      <c r="E437" s="64">
        <f t="shared" si="45"/>
        <v>1287</v>
      </c>
      <c r="F437" s="101">
        <v>1287</v>
      </c>
      <c r="G437" s="140"/>
      <c r="H437" s="64">
        <f>E437/'Erkrankungs- und Strukturdaten'!$C$7</f>
        <v>2340</v>
      </c>
      <c r="I437" s="64">
        <f t="shared" si="46"/>
        <v>607987</v>
      </c>
      <c r="J437" s="64">
        <f t="shared" si="47"/>
        <v>0</v>
      </c>
      <c r="K437" s="101">
        <f>IFERROR(IF(D437=_Datum,Prognoseparameter!$C$14,
IF(_WachstumsrateKURZ="Bundesweit",IF(D437&gt;_Datum,
         K436+AVERAGE(F433:F436)*(1+_WR)*(1-(K436-VLOOKUP('Erkrankungs- und Strukturdaten'!$C$45,$D:$M,$K$1,FALSE))/$B$16),
         K438-$B$23*F438),
IF(D437&gt;_Datum,K436+G437,IF(G438="",K438/(K438^(1/N437)),K438-G438)))),"")</f>
        <v>0</v>
      </c>
      <c r="L437" s="64">
        <f>I437/'Erkrankungs- und Strukturdaten'!$C$7</f>
        <v>1105430.9090909089</v>
      </c>
      <c r="M437" s="65">
        <f t="shared" si="48"/>
        <v>2.1213120158233064E-3</v>
      </c>
      <c r="N437" s="163">
        <v>217</v>
      </c>
      <c r="O437" s="222">
        <f t="shared" si="49"/>
        <v>1</v>
      </c>
    </row>
    <row r="438" spans="4:15" x14ac:dyDescent="0.2">
      <c r="D438" s="86">
        <v>44292</v>
      </c>
      <c r="E438" s="64">
        <f t="shared" si="45"/>
        <v>2687</v>
      </c>
      <c r="F438" s="101">
        <v>2687</v>
      </c>
      <c r="G438" s="140"/>
      <c r="H438" s="64">
        <f>E438/'Erkrankungs- und Strukturdaten'!$C$7</f>
        <v>4885.454545454545</v>
      </c>
      <c r="I438" s="64">
        <f t="shared" si="46"/>
        <v>610674</v>
      </c>
      <c r="J438" s="64">
        <f t="shared" si="47"/>
        <v>0</v>
      </c>
      <c r="K438" s="101">
        <f>IFERROR(IF(D438=_Datum,Prognoseparameter!$C$14,
IF(_WachstumsrateKURZ="Bundesweit",IF(D438&gt;_Datum,
         K437+AVERAGE(F434:F437)*(1+_WR)*(1-(K437-VLOOKUP('Erkrankungs- und Strukturdaten'!$C$45,$D:$M,$K$1,FALSE))/$B$16),
         K439-$B$23*F439),
IF(D438&gt;_Datum,K437+G438,IF(G439="",K439/(K439^(1/N438)),K439-G439)))),"")</f>
        <v>0</v>
      </c>
      <c r="L438" s="64">
        <f>I438/'Erkrankungs- und Strukturdaten'!$C$7</f>
        <v>1110316.3636363635</v>
      </c>
      <c r="M438" s="65">
        <f t="shared" si="48"/>
        <v>4.4195023906761161E-3</v>
      </c>
      <c r="N438" s="163">
        <v>217</v>
      </c>
      <c r="O438" s="222">
        <f t="shared" si="49"/>
        <v>1</v>
      </c>
    </row>
    <row r="439" spans="4:15" x14ac:dyDescent="0.2">
      <c r="D439" s="86">
        <v>44293</v>
      </c>
      <c r="E439" s="64">
        <f t="shared" si="45"/>
        <v>2385</v>
      </c>
      <c r="F439" s="101">
        <v>2385</v>
      </c>
      <c r="G439" s="140"/>
      <c r="H439" s="64">
        <f>E439/'Erkrankungs- und Strukturdaten'!$C$7</f>
        <v>4336.363636363636</v>
      </c>
      <c r="I439" s="64">
        <f t="shared" si="46"/>
        <v>613059</v>
      </c>
      <c r="J439" s="64">
        <f t="shared" si="47"/>
        <v>0</v>
      </c>
      <c r="K439" s="101">
        <f>IFERROR(IF(D439=_Datum,Prognoseparameter!$C$14,
IF(_WachstumsrateKURZ="Bundesweit",IF(D439&gt;_Datum,
         K438+AVERAGE(F435:F438)*(1+_WR)*(1-(K438-VLOOKUP('Erkrankungs- und Strukturdaten'!$C$45,$D:$M,$K$1,FALSE))/$B$16),
         K440-$B$23*F440),
IF(D439&gt;_Datum,K438+G439,IF(G440="",K440/(K440^(1/N439)),K440-G440)))),"")</f>
        <v>0</v>
      </c>
      <c r="L439" s="64">
        <f>I439/'Erkrankungs- und Strukturdaten'!$C$7</f>
        <v>1114652.7272727273</v>
      </c>
      <c r="M439" s="65">
        <f t="shared" si="48"/>
        <v>3.905520785230745E-3</v>
      </c>
      <c r="N439" s="163">
        <v>217</v>
      </c>
      <c r="O439" s="222">
        <f t="shared" si="49"/>
        <v>1</v>
      </c>
    </row>
    <row r="440" spans="4:15" x14ac:dyDescent="0.2">
      <c r="D440" s="86">
        <v>44294</v>
      </c>
      <c r="E440" s="64">
        <f t="shared" si="45"/>
        <v>2488</v>
      </c>
      <c r="F440" s="101">
        <v>2488</v>
      </c>
      <c r="G440" s="140"/>
      <c r="H440" s="64">
        <f>E440/'Erkrankungs- und Strukturdaten'!$C$7</f>
        <v>4523.6363636363631</v>
      </c>
      <c r="I440" s="64">
        <f t="shared" si="46"/>
        <v>615547</v>
      </c>
      <c r="J440" s="64">
        <f t="shared" si="47"/>
        <v>0</v>
      </c>
      <c r="K440" s="101">
        <f>IFERROR(IF(D440=_Datum,Prognoseparameter!$C$14,
IF(_WachstumsrateKURZ="Bundesweit",IF(D440&gt;_Datum,
         K439+AVERAGE(F436:F439)*(1+_WR)*(1-(K439-VLOOKUP('Erkrankungs- und Strukturdaten'!$C$45,$D:$M,$K$1,FALSE))/$B$16),
         K441-$B$23*F441),
IF(D440&gt;_Datum,K439+G440,IF(G441="",K441/(K441^(1/N440)),K441-G441)))),"")</f>
        <v>0</v>
      </c>
      <c r="L440" s="64">
        <f>I440/'Erkrankungs- und Strukturdaten'!$C$7</f>
        <v>1119176.3636363635</v>
      </c>
      <c r="M440" s="65">
        <f t="shared" si="48"/>
        <v>4.0583369626740655E-3</v>
      </c>
      <c r="N440" s="163">
        <v>217</v>
      </c>
      <c r="O440" s="222">
        <f t="shared" si="49"/>
        <v>1</v>
      </c>
    </row>
    <row r="441" spans="4:15" x14ac:dyDescent="0.2">
      <c r="D441" s="86">
        <v>44295</v>
      </c>
      <c r="E441" s="64">
        <f t="shared" si="45"/>
        <v>2412</v>
      </c>
      <c r="F441" s="101">
        <v>2412</v>
      </c>
      <c r="G441" s="140"/>
      <c r="H441" s="64">
        <f>E441/'Erkrankungs- und Strukturdaten'!$C$7</f>
        <v>4385.454545454545</v>
      </c>
      <c r="I441" s="64">
        <f t="shared" si="46"/>
        <v>617959</v>
      </c>
      <c r="J441" s="64">
        <f t="shared" si="47"/>
        <v>0</v>
      </c>
      <c r="K441" s="101">
        <f>IFERROR(IF(D441=_Datum,Prognoseparameter!$C$14,
IF(_WachstumsrateKURZ="Bundesweit",IF(D441&gt;_Datum,
         K440+AVERAGE(F437:F440)*(1+_WR)*(1-(K440-VLOOKUP('Erkrankungs- und Strukturdaten'!$C$45,$D:$M,$K$1,FALSE))/$B$16),
         K442-$B$23*F442),
IF(D441&gt;_Datum,K440+G441,IF(G442="",K442/(K442^(1/N441)),K442-G442)))),"")</f>
        <v>0</v>
      </c>
      <c r="L441" s="64">
        <f>I441/'Erkrankungs- und Strukturdaten'!$C$7</f>
        <v>1123561.8181818181</v>
      </c>
      <c r="M441" s="65">
        <f t="shared" si="48"/>
        <v>3.9184660147803495E-3</v>
      </c>
      <c r="N441" s="163">
        <v>217</v>
      </c>
      <c r="O441" s="222">
        <f t="shared" si="49"/>
        <v>1</v>
      </c>
    </row>
    <row r="442" spans="4:15" x14ac:dyDescent="0.2">
      <c r="D442" s="86">
        <v>44296</v>
      </c>
      <c r="E442" s="64">
        <f t="shared" si="45"/>
        <v>1678</v>
      </c>
      <c r="F442" s="101">
        <v>1678</v>
      </c>
      <c r="G442" s="140"/>
      <c r="H442" s="64">
        <f>E442/'Erkrankungs- und Strukturdaten'!$C$7</f>
        <v>3050.9090909090905</v>
      </c>
      <c r="I442" s="64">
        <f t="shared" si="46"/>
        <v>619637</v>
      </c>
      <c r="J442" s="64">
        <f t="shared" si="47"/>
        <v>0</v>
      </c>
      <c r="K442" s="101">
        <f>IFERROR(IF(D442=_Datum,Prognoseparameter!$C$14,
IF(_WachstumsrateKURZ="Bundesweit",IF(D442&gt;_Datum,
         K441+AVERAGE(F438:F441)*(1+_WR)*(1-(K441-VLOOKUP('Erkrankungs- und Strukturdaten'!$C$45,$D:$M,$K$1,FALSE))/$B$16),
         K443-$B$23*F443),
IF(D442&gt;_Datum,K441+G442,IF(G443="",K443/(K443^(1/N442)),K443-G443)))),"")</f>
        <v>0</v>
      </c>
      <c r="L442" s="64">
        <f>I442/'Erkrankungs- und Strukturdaten'!$C$7</f>
        <v>1126612.7272727273</v>
      </c>
      <c r="M442" s="65">
        <f t="shared" si="48"/>
        <v>2.7153905032534522E-3</v>
      </c>
      <c r="N442" s="163">
        <v>217</v>
      </c>
      <c r="O442" s="222">
        <f t="shared" si="49"/>
        <v>1</v>
      </c>
    </row>
    <row r="443" spans="4:15" x14ac:dyDescent="0.2">
      <c r="D443" s="86">
        <v>44297</v>
      </c>
      <c r="E443" s="64">
        <f t="shared" si="45"/>
        <v>1175</v>
      </c>
      <c r="F443" s="101">
        <v>1175</v>
      </c>
      <c r="G443" s="140"/>
      <c r="H443" s="64">
        <f>E443/'Erkrankungs- und Strukturdaten'!$C$7</f>
        <v>2136.363636363636</v>
      </c>
      <c r="I443" s="64">
        <f t="shared" si="46"/>
        <v>620812</v>
      </c>
      <c r="J443" s="64">
        <f t="shared" si="47"/>
        <v>0</v>
      </c>
      <c r="K443" s="101">
        <f>IFERROR(IF(D443=_Datum,Prognoseparameter!$C$14,
IF(_WachstumsrateKURZ="Bundesweit",IF(D443&gt;_Datum,
         K442+AVERAGE(F439:F442)*(1+_WR)*(1-(K442-VLOOKUP('Erkrankungs- und Strukturdaten'!$C$45,$D:$M,$K$1,FALSE))/$B$16),
         K444-$B$23*F444),
IF(D443&gt;_Datum,K442+G443,IF(G444="",K444/(K444^(1/N443)),K444-G444)))),"")</f>
        <v>0</v>
      </c>
      <c r="L443" s="64">
        <f>I443/'Erkrankungs- und Strukturdaten'!$C$7</f>
        <v>1128749.0909090908</v>
      </c>
      <c r="M443" s="65">
        <f t="shared" si="48"/>
        <v>1.8962715267164486E-3</v>
      </c>
      <c r="N443" s="163">
        <v>217</v>
      </c>
      <c r="O443" s="222">
        <f t="shared" si="49"/>
        <v>1</v>
      </c>
    </row>
    <row r="444" spans="4:15" x14ac:dyDescent="0.2">
      <c r="D444" s="86">
        <v>44298</v>
      </c>
      <c r="E444" s="64">
        <f t="shared" si="45"/>
        <v>2734</v>
      </c>
      <c r="F444" s="101">
        <v>2734</v>
      </c>
      <c r="G444" s="140"/>
      <c r="H444" s="64">
        <f>E444/'Erkrankungs- und Strukturdaten'!$C$7</f>
        <v>4970.9090909090901</v>
      </c>
      <c r="I444" s="64">
        <f t="shared" si="46"/>
        <v>623546</v>
      </c>
      <c r="J444" s="64">
        <f t="shared" si="47"/>
        <v>0</v>
      </c>
      <c r="K444" s="101">
        <f>IFERROR(IF(D444=_Datum,Prognoseparameter!$C$14,
IF(_WachstumsrateKURZ="Bundesweit",IF(D444&gt;_Datum,
         K443+AVERAGE(F440:F443)*(1+_WR)*(1-(K443-VLOOKUP('Erkrankungs- und Strukturdaten'!$C$45,$D:$M,$K$1,FALSE))/$B$16),
         K445-$B$23*F445),
IF(D444&gt;_Datum,K443+G444,IF(G445="",K445/(K445^(1/N444)),K445-G445)))),"")</f>
        <v>0</v>
      </c>
      <c r="L444" s="64">
        <f>I444/'Erkrankungs- und Strukturdaten'!$C$7</f>
        <v>1133720</v>
      </c>
      <c r="M444" s="65">
        <f t="shared" si="48"/>
        <v>4.4039097182399824E-3</v>
      </c>
      <c r="N444" s="163">
        <v>217</v>
      </c>
      <c r="O444" s="222">
        <f t="shared" si="49"/>
        <v>1</v>
      </c>
    </row>
    <row r="445" spans="4:15" x14ac:dyDescent="0.2">
      <c r="D445" s="86">
        <v>44299</v>
      </c>
      <c r="E445" s="64">
        <f t="shared" si="45"/>
        <v>2325</v>
      </c>
      <c r="F445" s="101">
        <v>2325</v>
      </c>
      <c r="G445" s="140"/>
      <c r="H445" s="64">
        <f>E445/'Erkrankungs- und Strukturdaten'!$C$7</f>
        <v>4227.272727272727</v>
      </c>
      <c r="I445" s="64">
        <f t="shared" si="46"/>
        <v>625871</v>
      </c>
      <c r="J445" s="64">
        <f t="shared" si="47"/>
        <v>0</v>
      </c>
      <c r="K445" s="101">
        <f>IFERROR(IF(D445=_Datum,Prognoseparameter!$C$14,
IF(_WachstumsrateKURZ="Bundesweit",IF(D445&gt;_Datum,
         K444+AVERAGE(F441:F444)*(1+_WR)*(1-(K444-VLOOKUP('Erkrankungs- und Strukturdaten'!$C$45,$D:$M,$K$1,FALSE))/$B$16),
         K446-$B$23*F446),
IF(D445&gt;_Datum,K444+G445,IF(G446="",K446/(K446^(1/N445)),K446-G446)))),"")</f>
        <v>0</v>
      </c>
      <c r="L445" s="64">
        <f>I445/'Erkrankungs- und Strukturdaten'!$C$7</f>
        <v>1137947.2727272727</v>
      </c>
      <c r="M445" s="65">
        <f t="shared" si="48"/>
        <v>3.7286743880964677E-3</v>
      </c>
      <c r="N445" s="163">
        <v>217</v>
      </c>
      <c r="O445" s="222">
        <f t="shared" si="49"/>
        <v>1</v>
      </c>
    </row>
    <row r="446" spans="4:15" x14ac:dyDescent="0.2">
      <c r="D446" s="86">
        <v>44300</v>
      </c>
      <c r="E446" s="64">
        <f t="shared" si="45"/>
        <v>1456</v>
      </c>
      <c r="F446" s="101">
        <v>1456</v>
      </c>
      <c r="G446" s="140"/>
      <c r="H446" s="64">
        <f>E446/'Erkrankungs- und Strukturdaten'!$C$7</f>
        <v>2647.272727272727</v>
      </c>
      <c r="I446" s="64">
        <f t="shared" si="46"/>
        <v>627327</v>
      </c>
      <c r="J446" s="64">
        <f t="shared" si="47"/>
        <v>0</v>
      </c>
      <c r="K446" s="101">
        <f>IFERROR(IF(D446=_Datum,Prognoseparameter!$C$14,
IF(_WachstumsrateKURZ="Bundesweit",IF(D446&gt;_Datum,
         K445+AVERAGE(F442:F445)*(1+_WR)*(1-(K445-VLOOKUP('Erkrankungs- und Strukturdaten'!$C$45,$D:$M,$K$1,FALSE))/$B$16),
         K447-$B$23*F447),
IF(D446&gt;_Datum,K445+G446,IF(G447="",K447/(K447^(1/N446)),K447-G447)))),"")</f>
        <v>0</v>
      </c>
      <c r="L446" s="64">
        <f>I446/'Erkrankungs- und Strukturdaten'!$C$7</f>
        <v>1140594.5454545454</v>
      </c>
      <c r="M446" s="65">
        <f t="shared" si="48"/>
        <v>2.3263579875086081E-3</v>
      </c>
      <c r="N446" s="163">
        <v>217</v>
      </c>
      <c r="O446" s="222">
        <f t="shared" si="49"/>
        <v>1</v>
      </c>
    </row>
    <row r="447" spans="4:15" x14ac:dyDescent="0.2">
      <c r="D447" s="86">
        <v>44301</v>
      </c>
      <c r="E447" s="64">
        <f t="shared" si="45"/>
        <v>2750.8558623212934</v>
      </c>
      <c r="F447" s="101">
        <f>ROUND(IF(_Methodik="Gesamtinf",
AVERAGE(F443:F446)*(1+_WR)*(1-(I446-VLOOKUP('Erkrankungs- und Strukturdaten'!$C$45,$D:$M,$I$1,FALSE))/$B$6),
IF(_Methodik="Neuinf",AVERAGE(F437:F443)*(AVERAGE($F440:$F446)/AVERAGE($F433:$F439))^(1/IF(D447-7&gt;_Datum,1,Prognoseparameter!$T$16)),
(I446)*(1+($B$29*(1-(I446)/$B$6)))-(I446))),4)+0.000001</f>
        <v>2421.6440009999997</v>
      </c>
      <c r="G447" s="140">
        <f>ROUND(IFERROR(IF(_Methodik="Gesamtinf",
AVERAGE(G443:G446)*(1+_WR)*(1-(VLOOKUP(D447-1,$D:$M,$J$1+(_AusgangswertKURZ="Regionaler Ausgangswert"),FALSE)-VLOOKUP('Erkrankungs- und Strukturdaten'!$C$45,$D:$M,$J$1+(_AusgangswertKURZ="Regionaler Ausgangswert"),FALSE))/$B$16),
IF(_Methodik="Neuinf",AVERAGE(G437:G443)*(AVERAGE(G440:G446)/AVERAGE(G433:G439))^(1/IF($D447-7&gt;_Datum,1,Prognoseparameter!$T$16)),
VLOOKUP(D447-1,D:L,$J$1+(_AusgangswertKURZ="Regionaler Ausgangswert"),FALSE)*(1+($B$29*(1-VLOOKUP(D447-1,D:L,$J$1+(_AusgangswertKURZ="Regionaler Ausgangswert"),FALSE)/$B$16)))-VLOOKUP(D447-1,D:L,$J$1+(_AusgangswertKURZ="Regionaler Ausgangswert"),FALSE))),0),4)+0.000001</f>
        <v>9.9999999999999995E-7</v>
      </c>
      <c r="H447" s="64">
        <f>E447/'Erkrankungs- und Strukturdaten'!$C$7</f>
        <v>5001.5561133114425</v>
      </c>
      <c r="I447" s="64">
        <f t="shared" si="46"/>
        <v>629748.64400099998</v>
      </c>
      <c r="J447" s="64">
        <f t="shared" si="47"/>
        <v>9.9999999999999995E-7</v>
      </c>
      <c r="K447" s="101">
        <f>IFERROR(IF(D447=_Datum,Prognoseparameter!$C$14,
IF(_WachstumsrateKURZ="Bundesweit",IF(D447&gt;_Datum,
         K446+AVERAGE(F443:F446)*(1+_WR)*(1-(K446-VLOOKUP('Erkrankungs- und Strukturdaten'!$C$45,$D:$M,$K$1,FALSE))/$B$16),
         K448-$B$23*F448),
IF(D447&gt;_Datum,K446+G447,IF(G448="",K448/(K448^(1/N447)),K448-G448)))),"")</f>
        <v>1928.7761834342543</v>
      </c>
      <c r="L447" s="64">
        <f>I447/'Erkrankungs- und Strukturdaten'!$C$7</f>
        <v>1144997.5345472726</v>
      </c>
      <c r="M447" s="65">
        <f t="shared" si="48"/>
        <v>3.8602578894260547E-3</v>
      </c>
      <c r="N447" s="163">
        <v>217</v>
      </c>
      <c r="O447" s="222">
        <f t="shared" si="49"/>
        <v>0</v>
      </c>
    </row>
    <row r="448" spans="4:15" x14ac:dyDescent="0.2">
      <c r="D448" s="86">
        <v>44302</v>
      </c>
      <c r="E448" s="64">
        <f t="shared" si="45"/>
        <v>2508.0813590407165</v>
      </c>
      <c r="F448" s="101">
        <f>ROUND(IF(_Methodik="Gesamtinf",
AVERAGE(F444:F447)*(1+_WR)*(1-(I447-VLOOKUP('Erkrankungs- und Strukturdaten'!$C$45,$D:$M,$I$1,FALSE))/$B$6),
IF(_Methodik="Neuinf",AVERAGE(F438:F444)*(AVERAGE($F441:$F447)/AVERAGE($F434:$F440))^(1/IF(D448-7&gt;_Datum,1,Prognoseparameter!$T$16)),
(I447)*(1+($B$29*(1-(I447)/$B$6)))-(I447))),4)+0.000001</f>
        <v>2549.3617009999998</v>
      </c>
      <c r="G448" s="140">
        <f>ROUND(IFERROR(IF(_Methodik="Gesamtinf",
AVERAGE(G444:G447)*(1+_WR)*(1-(VLOOKUP(D448-1,$D:$M,$J$1+(_AusgangswertKURZ="Regionaler Ausgangswert"),FALSE)-VLOOKUP('Erkrankungs- und Strukturdaten'!$C$45,$D:$M,$J$1+(_AusgangswertKURZ="Regionaler Ausgangswert"),FALSE))/$B$16),
IF(_Methodik="Neuinf",AVERAGE(G438:G444)*(AVERAGE(G441:G447)/AVERAGE(G434:G440))^(1/IF($D448-7&gt;_Datum,1,Prognoseparameter!$T$16)),
VLOOKUP(D448-1,D:L,$J$1+(_AusgangswertKURZ="Regionaler Ausgangswert"),FALSE)*(1+($B$29*(1-VLOOKUP(D448-1,D:L,$J$1+(_AusgangswertKURZ="Regionaler Ausgangswert"),FALSE)/$B$16)))-VLOOKUP(D448-1,D:L,$J$1+(_AusgangswertKURZ="Regionaler Ausgangswert"),FALSE))),0),4)+0.000001</f>
        <v>9.9999999999999995E-7</v>
      </c>
      <c r="H448" s="64">
        <f>E448/'Erkrankungs- und Strukturdaten'!$C$7</f>
        <v>4560.1479255285749</v>
      </c>
      <c r="I448" s="64">
        <f t="shared" si="46"/>
        <v>632298.00570199999</v>
      </c>
      <c r="J448" s="64">
        <f t="shared" si="47"/>
        <v>1.9999999999999999E-6</v>
      </c>
      <c r="K448" s="101">
        <f>IFERROR(IF(D448=_Datum,Prognoseparameter!$C$14,
IF(_WachstumsrateKURZ="Bundesweit",IF(D448&gt;_Datum,
         K447+AVERAGE(F444:F447)*(1+_WR)*(1-(K447-VLOOKUP('Erkrankungs- und Strukturdaten'!$C$45,$D:$M,$K$1,FALSE))/$B$16),
         K449-$B$23*F449),
IF(D448&gt;_Datum,K447+G448,IF(G449="",K449/(K449^(1/N448)),K449-G449)))),"")</f>
        <v>4168.9166092414116</v>
      </c>
      <c r="L448" s="64">
        <f>I448/'Erkrankungs- und Strukturdaten'!$C$7</f>
        <v>1149632.7376399999</v>
      </c>
      <c r="M448" s="65">
        <f t="shared" si="48"/>
        <v>4.0482210248252125E-3</v>
      </c>
      <c r="N448" s="163">
        <v>217</v>
      </c>
      <c r="O448" s="222">
        <f t="shared" si="49"/>
        <v>0</v>
      </c>
    </row>
    <row r="449" spans="4:15" x14ac:dyDescent="0.2">
      <c r="D449" s="86">
        <v>44303</v>
      </c>
      <c r="E449" s="64">
        <f t="shared" si="45"/>
        <v>1673.4861786136416</v>
      </c>
      <c r="F449" s="101">
        <f>ROUND(IF(_Methodik="Gesamtinf",
AVERAGE(F445:F448)*(1+_WR)*(1-(I448-VLOOKUP('Erkrankungs- und Strukturdaten'!$C$45,$D:$M,$I$1,FALSE))/$B$6),
IF(_Methodik="Neuinf",AVERAGE(F439:F445)*(AVERAGE($F442:$F448)/AVERAGE($F435:$F441))^(1/IF(D449-7&gt;_Datum,1,Prognoseparameter!$T$16)),
(I448)*(1+($B$29*(1-(I448)/$B$6)))-(I448))),4)+0.000001</f>
        <v>2289.8111009999998</v>
      </c>
      <c r="G449" s="140">
        <f>ROUND(IFERROR(IF(_Methodik="Gesamtinf",
AVERAGE(G445:G448)*(1+_WR)*(1-(VLOOKUP(D449-1,$D:$M,$J$1+(_AusgangswertKURZ="Regionaler Ausgangswert"),FALSE)-VLOOKUP('Erkrankungs- und Strukturdaten'!$C$45,$D:$M,$J$1+(_AusgangswertKURZ="Regionaler Ausgangswert"),FALSE))/$B$16),
IF(_Methodik="Neuinf",AVERAGE(G439:G445)*(AVERAGE(G442:G448)/AVERAGE(G435:G441))^(1/IF($D449-7&gt;_Datum,1,Prognoseparameter!$T$16)),
VLOOKUP(D449-1,D:L,$J$1+(_AusgangswertKURZ="Regionaler Ausgangswert"),FALSE)*(1+($B$29*(1-VLOOKUP(D449-1,D:L,$J$1+(_AusgangswertKURZ="Regionaler Ausgangswert"),FALSE)/$B$16)))-VLOOKUP(D449-1,D:L,$J$1+(_AusgangswertKURZ="Regionaler Ausgangswert"),FALSE))),0),4)+0.000001</f>
        <v>9.9999999999999995E-7</v>
      </c>
      <c r="H449" s="64">
        <f>E449/'Erkrankungs- und Strukturdaten'!$C$7</f>
        <v>3042.7021429338938</v>
      </c>
      <c r="I449" s="64">
        <f t="shared" si="46"/>
        <v>634587.81680300005</v>
      </c>
      <c r="J449" s="64">
        <f t="shared" si="47"/>
        <v>3.0000000000000001E-6</v>
      </c>
      <c r="K449" s="101">
        <f>IFERROR(IF(D449=_Datum,Prognoseparameter!$C$14,
IF(_WachstumsrateKURZ="Bundesweit",IF(D449&gt;_Datum,
         K448+AVERAGE(F445:F448)*(1+_WR)*(1-(K448-VLOOKUP('Erkrankungs- und Strukturdaten'!$C$45,$D:$M,$K$1,FALSE))/$B$16),
         K450-$B$23*F450),
IF(D449&gt;_Datum,K448+G449,IF(G450="",K450/(K450^(1/N449)),K450-G450)))),"")</f>
        <v>6361.2790982049128</v>
      </c>
      <c r="L449" s="64">
        <f>I449/'Erkrankungs- und Strukturdaten'!$C$7</f>
        <v>1153796.030550909</v>
      </c>
      <c r="M449" s="65">
        <f t="shared" si="48"/>
        <v>3.621411233865631E-3</v>
      </c>
      <c r="N449" s="163">
        <v>217</v>
      </c>
      <c r="O449" s="222">
        <f t="shared" si="49"/>
        <v>0</v>
      </c>
    </row>
    <row r="450" spans="4:15" x14ac:dyDescent="0.2">
      <c r="D450" s="86">
        <v>44304</v>
      </c>
      <c r="E450" s="64">
        <f t="shared" si="45"/>
        <v>1194.7728279839255</v>
      </c>
      <c r="F450" s="101">
        <f>ROUND(IF(_Methodik="Gesamtinf",
AVERAGE(F446:F449)*(1+_WR)*(1-(I449-VLOOKUP('Erkrankungs- und Strukturdaten'!$C$45,$D:$M,$I$1,FALSE))/$B$6),
IF(_Methodik="Neuinf",AVERAGE(F440:F446)*(AVERAGE($F443:$F449)/AVERAGE($F436:$F442))^(1/IF(D450-7&gt;_Datum,1,Prognoseparameter!$T$16)),
(I449)*(1+($B$29*(1-(I449)/$B$6)))-(I449))),4)+0.000001</f>
        <v>2183.4231009999999</v>
      </c>
      <c r="G450" s="140">
        <f>ROUND(IFERROR(IF(_Methodik="Gesamtinf",
AVERAGE(G446:G449)*(1+_WR)*(1-(VLOOKUP(D450-1,$D:$M,$J$1+(_AusgangswertKURZ="Regionaler Ausgangswert"),FALSE)-VLOOKUP('Erkrankungs- und Strukturdaten'!$C$45,$D:$M,$J$1+(_AusgangswertKURZ="Regionaler Ausgangswert"),FALSE))/$B$16),
IF(_Methodik="Neuinf",AVERAGE(G440:G446)*(AVERAGE(G443:G449)/AVERAGE(G436:G442))^(1/IF($D450-7&gt;_Datum,1,Prognoseparameter!$T$16)),
VLOOKUP(D450-1,D:L,$J$1+(_AusgangswertKURZ="Regionaler Ausgangswert"),FALSE)*(1+($B$29*(1-VLOOKUP(D450-1,D:L,$J$1+(_AusgangswertKURZ="Regionaler Ausgangswert"),FALSE)/$B$16)))-VLOOKUP(D450-1,D:L,$J$1+(_AusgangswertKURZ="Regionaler Ausgangswert"),FALSE))),0),4)+0.000001</f>
        <v>9.9999999999999995E-7</v>
      </c>
      <c r="H450" s="64">
        <f>E450/'Erkrankungs- und Strukturdaten'!$C$7</f>
        <v>2172.314232698046</v>
      </c>
      <c r="I450" s="64">
        <f t="shared" si="46"/>
        <v>636771.23990400007</v>
      </c>
      <c r="J450" s="64">
        <f t="shared" si="47"/>
        <v>3.9999999999999998E-6</v>
      </c>
      <c r="K450" s="101">
        <f>IFERROR(IF(D450=_Datum,Prognoseparameter!$C$14,
IF(_WachstumsrateKURZ="Bundesweit",IF(D450&gt;_Datum,
         K449+AVERAGE(F446:F449)*(1+_WR)*(1-(K449-VLOOKUP('Erkrankungs- und Strukturdaten'!$C$45,$D:$M,$K$1,FALSE))/$B$16),
         K451-$B$23*F451),
IF(D450&gt;_Datum,K449+G450,IF(G451="",K451/(K451^(1/N450)),K451-G451)))),"")</f>
        <v>8543.3697694289895</v>
      </c>
      <c r="L450" s="64">
        <f>I450/'Erkrankungs- und Strukturdaten'!$C$7</f>
        <v>1157765.8907345454</v>
      </c>
      <c r="M450" s="65">
        <f t="shared" si="48"/>
        <v>3.440694956924833E-3</v>
      </c>
      <c r="N450" s="163">
        <v>217</v>
      </c>
      <c r="O450" s="222">
        <f t="shared" si="49"/>
        <v>0</v>
      </c>
    </row>
    <row r="451" spans="4:15" x14ac:dyDescent="0.2">
      <c r="D451" s="86">
        <v>44305</v>
      </c>
      <c r="E451" s="64">
        <f t="shared" si="45"/>
        <v>2782.0772624529359</v>
      </c>
      <c r="F451" s="101">
        <f>ROUND(IF(_Methodik="Gesamtinf",
AVERAGE(F447:F450)*(1+_WR)*(1-(I450-VLOOKUP('Erkrankungs- und Strukturdaten'!$C$45,$D:$M,$I$1,FALSE))/$B$6),
IF(_Methodik="Neuinf",AVERAGE(F441:F447)*(AVERAGE($F444:$F450)/AVERAGE($F437:$F443))^(1/IF(D451-7&gt;_Datum,1,Prognoseparameter!$T$16)),
(I450)*(1+($B$29*(1-(I450)/$B$6)))-(I450))),4)+0.000001</f>
        <v>2294.3740009999997</v>
      </c>
      <c r="G451" s="140">
        <f>ROUND(IFERROR(IF(_Methodik="Gesamtinf",
AVERAGE(G447:G450)*(1+_WR)*(1-(VLOOKUP(D451-1,$D:$M,$J$1+(_AusgangswertKURZ="Regionaler Ausgangswert"),FALSE)-VLOOKUP('Erkrankungs- und Strukturdaten'!$C$45,$D:$M,$J$1+(_AusgangswertKURZ="Regionaler Ausgangswert"),FALSE))/$B$16),
IF(_Methodik="Neuinf",AVERAGE(G441:G447)*(AVERAGE(G444:G450)/AVERAGE(G437:G443))^(1/IF($D451-7&gt;_Datum,1,Prognoseparameter!$T$16)),
VLOOKUP(D451-1,D:L,$J$1+(_AusgangswertKURZ="Regionaler Ausgangswert"),FALSE)*(1+($B$29*(1-VLOOKUP(D451-1,D:L,$J$1+(_AusgangswertKURZ="Regionaler Ausgangswert"),FALSE)/$B$16)))-VLOOKUP(D451-1,D:L,$J$1+(_AusgangswertKURZ="Regionaler Ausgangswert"),FALSE))),0),4)+0.000001</f>
        <v>9.9999999999999995E-7</v>
      </c>
      <c r="H451" s="64">
        <f>E451/'Erkrankungs- und Strukturdaten'!$C$7</f>
        <v>5058.3222953689738</v>
      </c>
      <c r="I451" s="64">
        <f t="shared" si="46"/>
        <v>639065.61390500003</v>
      </c>
      <c r="J451" s="64">
        <f t="shared" si="47"/>
        <v>4.9999999999999996E-6</v>
      </c>
      <c r="K451" s="101">
        <f>IFERROR(IF(D451=_Datum,Prognoseparameter!$C$14,
IF(_WachstumsrateKURZ="Bundesweit",IF(D451&gt;_Datum,
         K450+AVERAGE(F447:F450)*(1+_WR)*(1-(K450-VLOOKUP('Erkrankungs- und Strukturdaten'!$C$45,$D:$M,$K$1,FALSE))/$B$16),
         K452-$B$23*F452),
IF(D451&gt;_Datum,K450+G451,IF(G452="",K452/(K452^(1/N451)),K452-G452)))),"")</f>
        <v>10905.98583890561</v>
      </c>
      <c r="L451" s="64">
        <f>I451/'Erkrankungs- und Strukturdaten'!$C$7</f>
        <v>1161937.4798272727</v>
      </c>
      <c r="M451" s="65">
        <f t="shared" si="48"/>
        <v>3.603136977960658E-3</v>
      </c>
      <c r="N451" s="163">
        <v>217</v>
      </c>
      <c r="O451" s="222">
        <f t="shared" si="49"/>
        <v>0</v>
      </c>
    </row>
    <row r="452" spans="4:15" x14ac:dyDescent="0.2">
      <c r="D452" s="86">
        <v>44306</v>
      </c>
      <c r="E452" s="64">
        <f t="shared" ref="E452:E515" si="50">IF(_AusgangswertKURZ="Bevölkerungsanteil",
$B$26*IF(F452=ROUNDDOWN(F452,0),F452,F452*VLOOKUP(WEEKDAY($D452,1),$A$51:$B$57,$B$1,FALSE)),
$B$17*IF(G452=ROUNDDOWN(G452,0),G452,G452*VLOOKUP(WEEKDAY($D452,1),$A$51:$B$57,$B$1,FALSE)))</f>
        <v>2557.3875993494148</v>
      </c>
      <c r="F452" s="101">
        <f>ROUND(IF(_Methodik="Gesamtinf",
AVERAGE(F448:F451)*(1+_WR)*(1-(I451-VLOOKUP('Erkrankungs- und Strukturdaten'!$C$45,$D:$M,$I$1,FALSE))/$B$6),
IF(_Methodik="Neuinf",AVERAGE(F442:F448)*(AVERAGE($F445:$F451)/AVERAGE($F438:$F444))^(1/IF(D452-7&gt;_Datum,1,Prognoseparameter!$T$16)),
(I451)*(1+($B$29*(1-(I451)/$B$6)))-(I451))),4)+0.000001</f>
        <v>2043.244001</v>
      </c>
      <c r="G452" s="140">
        <f>ROUND(IFERROR(IF(_Methodik="Gesamtinf",
AVERAGE(G448:G451)*(1+_WR)*(1-(VLOOKUP(D452-1,$D:$M,$J$1+(_AusgangswertKURZ="Regionaler Ausgangswert"),FALSE)-VLOOKUP('Erkrankungs- und Strukturdaten'!$C$45,$D:$M,$J$1+(_AusgangswertKURZ="Regionaler Ausgangswert"),FALSE))/$B$16),
IF(_Methodik="Neuinf",AVERAGE(G442:G448)*(AVERAGE(G445:G451)/AVERAGE(G438:G444))^(1/IF($D452-7&gt;_Datum,1,Prognoseparameter!$T$16)),
VLOOKUP(D452-1,D:L,$J$1+(_AusgangswertKURZ="Regionaler Ausgangswert"),FALSE)*(1+($B$29*(1-VLOOKUP(D452-1,D:L,$J$1+(_AusgangswertKURZ="Regionaler Ausgangswert"),FALSE)/$B$16)))-VLOOKUP(D452-1,D:L,$J$1+(_AusgangswertKURZ="Regionaler Ausgangswert"),FALSE))),0),4)+0.000001</f>
        <v>9.9999999999999995E-7</v>
      </c>
      <c r="H452" s="64">
        <f>E452/'Erkrankungs- und Strukturdaten'!$C$7</f>
        <v>4649.7956351807534</v>
      </c>
      <c r="I452" s="64">
        <f t="shared" si="46"/>
        <v>641108.85790599999</v>
      </c>
      <c r="J452" s="64">
        <f t="shared" si="47"/>
        <v>5.9999999999999993E-6</v>
      </c>
      <c r="K452" s="101">
        <f>IFERROR(IF(D452=_Datum,Prognoseparameter!$C$14,
IF(_WachstumsrateKURZ="Bundesweit",IF(D452&gt;_Datum,
         K451+AVERAGE(F448:F451)*(1+_WR)*(1-(K451-VLOOKUP('Erkrankungs- und Strukturdaten'!$C$45,$D:$M,$K$1,FALSE))/$B$16),
         K453-$B$23*F453),
IF(D452&gt;_Datum,K451+G452,IF(G453="",K453/(K453^(1/N452)),K453-G453)))),"")</f>
        <v>13235.085119275955</v>
      </c>
      <c r="L452" s="64">
        <f>I452/'Erkrankungs- und Strukturdaten'!$C$7</f>
        <v>1165652.4689199999</v>
      </c>
      <c r="M452" s="65">
        <f t="shared" si="48"/>
        <v>3.1972366476029686E-3</v>
      </c>
      <c r="N452" s="163">
        <v>217</v>
      </c>
      <c r="O452" s="222">
        <f t="shared" si="49"/>
        <v>0</v>
      </c>
    </row>
    <row r="453" spans="4:15" x14ac:dyDescent="0.2">
      <c r="D453" s="86">
        <v>44307</v>
      </c>
      <c r="E453" s="64">
        <f t="shared" si="50"/>
        <v>2437.129606866275</v>
      </c>
      <c r="F453" s="101">
        <f>ROUND(IF(_Methodik="Gesamtinf",
AVERAGE(F449:F452)*(1+_WR)*(1-(I452-VLOOKUP('Erkrankungs- und Strukturdaten'!$C$45,$D:$M,$I$1,FALSE))/$B$6),
IF(_Methodik="Neuinf",AVERAGE(F443:F449)*(AVERAGE($F446:$F452)/AVERAGE($F439:$F445))^(1/IF(D453-7&gt;_Datum,1,Prognoseparameter!$T$16)),
(I452)*(1+($B$29*(1-(I452)/$B$6)))-(I452))),4)+0.000001</f>
        <v>2141.5733009999999</v>
      </c>
      <c r="G453" s="140">
        <f>ROUND(IFERROR(IF(_Methodik="Gesamtinf",
AVERAGE(G449:G452)*(1+_WR)*(1-(VLOOKUP(D453-1,$D:$M,$J$1+(_AusgangswertKURZ="Regionaler Ausgangswert"),FALSE)-VLOOKUP('Erkrankungs- und Strukturdaten'!$C$45,$D:$M,$J$1+(_AusgangswertKURZ="Regionaler Ausgangswert"),FALSE))/$B$16),
IF(_Methodik="Neuinf",AVERAGE(G443:G449)*(AVERAGE(G446:G452)/AVERAGE(G439:G445))^(1/IF($D453-7&gt;_Datum,1,Prognoseparameter!$T$16)),
VLOOKUP(D453-1,D:L,$J$1+(_AusgangswertKURZ="Regionaler Ausgangswert"),FALSE)*(1+($B$29*(1-VLOOKUP(D453-1,D:L,$J$1+(_AusgangswertKURZ="Regionaler Ausgangswert"),FALSE)/$B$16)))-VLOOKUP(D453-1,D:L,$J$1+(_AusgangswertKURZ="Regionaler Ausgangswert"),FALSE))),0),4)+0.000001</f>
        <v>9.9999999999999995E-7</v>
      </c>
      <c r="H453" s="64">
        <f>E453/'Erkrankungs- und Strukturdaten'!$C$7</f>
        <v>4431.1447397568636</v>
      </c>
      <c r="I453" s="64">
        <f t="shared" si="46"/>
        <v>643250.43120700005</v>
      </c>
      <c r="J453" s="64">
        <f t="shared" si="47"/>
        <v>6.999999999999999E-6</v>
      </c>
      <c r="K453" s="101">
        <f>IFERROR(IF(D453=_Datum,Prognoseparameter!$C$14,
IF(_WachstumsrateKURZ="Bundesweit",IF(D453&gt;_Datum,
         K452+AVERAGE(F449:F452)*(1+_WR)*(1-(K452-VLOOKUP('Erkrankungs- und Strukturdaten'!$C$45,$D:$M,$K$1,FALSE))/$B$16),
         K454-$B$23*F454),
IF(D453&gt;_Datum,K452+G453,IF(G454="",K454/(K454^(1/N453)),K454-G454)))),"")</f>
        <v>15436.098119723782</v>
      </c>
      <c r="L453" s="64">
        <f>I453/'Erkrankungs- und Strukturdaten'!$C$7</f>
        <v>1169546.2385581818</v>
      </c>
      <c r="M453" s="65">
        <f t="shared" si="48"/>
        <v>3.3404207017118681E-3</v>
      </c>
      <c r="N453" s="163">
        <v>217</v>
      </c>
      <c r="O453" s="222">
        <f t="shared" si="49"/>
        <v>0</v>
      </c>
    </row>
    <row r="454" spans="4:15" x14ac:dyDescent="0.2">
      <c r="D454" s="86">
        <v>44308</v>
      </c>
      <c r="E454" s="64">
        <f t="shared" si="50"/>
        <v>2890.3155635907483</v>
      </c>
      <c r="F454" s="101">
        <f>ROUND(IF(_Methodik="Gesamtinf",
AVERAGE(F450:F453)*(1+_WR)*(1-(I453-VLOOKUP('Erkrankungs- und Strukturdaten'!$C$45,$D:$M,$I$1,FALSE))/$B$6),
IF(_Methodik="Neuinf",AVERAGE(F444:F450)*(AVERAGE($F447:$F453)/AVERAGE($F440:$F446))^(1/IF(D454-7&gt;_Datum,1,Prognoseparameter!$T$16)),
(I453)*(1+($B$29*(1-(I453)/$B$6)))-(I453))),4)+0.000001</f>
        <v>2544.4137009999999</v>
      </c>
      <c r="G454" s="140">
        <f>ROUND(IFERROR(IF(_Methodik="Gesamtinf",
AVERAGE(G450:G453)*(1+_WR)*(1-(VLOOKUP(D454-1,$D:$M,$J$1+(_AusgangswertKURZ="Regionaler Ausgangswert"),FALSE)-VLOOKUP('Erkrankungs- und Strukturdaten'!$C$45,$D:$M,$J$1+(_AusgangswertKURZ="Regionaler Ausgangswert"),FALSE))/$B$16),
IF(_Methodik="Neuinf",AVERAGE(G444:G450)*(AVERAGE(G447:G453)/AVERAGE(G440:G446))^(1/IF($D454-7&gt;_Datum,1,Prognoseparameter!$T$16)),
VLOOKUP(D454-1,D:L,$J$1+(_AusgangswertKURZ="Regionaler Ausgangswert"),FALSE)*(1+($B$29*(1-VLOOKUP(D454-1,D:L,$J$1+(_AusgangswertKURZ="Regionaler Ausgangswert"),FALSE)/$B$16)))-VLOOKUP(D454-1,D:L,$J$1+(_AusgangswertKURZ="Regionaler Ausgangswert"),FALSE))),0),4)+0.000001</f>
        <v>9.9999999999999995E-7</v>
      </c>
      <c r="H454" s="64">
        <f>E454/'Erkrankungs- und Strukturdaten'!$C$7</f>
        <v>5255.1192065286332</v>
      </c>
      <c r="I454" s="64">
        <f t="shared" ref="I454:I517" si="51">I453+F454</f>
        <v>645794.84490800009</v>
      </c>
      <c r="J454" s="64">
        <f t="shared" si="47"/>
        <v>7.9999999999999996E-6</v>
      </c>
      <c r="K454" s="101">
        <f>IFERROR(IF(D454=_Datum,Prognoseparameter!$C$14,
IF(_WachstumsrateKURZ="Bundesweit",IF(D454&gt;_Datum,
         K453+AVERAGE(F450:F453)*(1+_WR)*(1-(K453-VLOOKUP('Erkrankungs- und Strukturdaten'!$C$45,$D:$M,$K$1,FALSE))/$B$16),
         K455-$B$23*F455),
IF(D454&gt;_Datum,K453+G454,IF(G455="",K455/(K455^(1/N454)),K455-G455)))),"")</f>
        <v>17598.626560750512</v>
      </c>
      <c r="L454" s="64">
        <f>I454/'Erkrankungs- und Strukturdaten'!$C$7</f>
        <v>1174172.4452872728</v>
      </c>
      <c r="M454" s="65">
        <f t="shared" si="48"/>
        <v>3.9555569301767644E-3</v>
      </c>
      <c r="N454" s="163">
        <v>217</v>
      </c>
      <c r="O454" s="222">
        <f t="shared" si="49"/>
        <v>0</v>
      </c>
    </row>
    <row r="455" spans="4:15" x14ac:dyDescent="0.2">
      <c r="D455" s="86">
        <v>44309</v>
      </c>
      <c r="E455" s="64">
        <f t="shared" si="50"/>
        <v>2464.4875663351672</v>
      </c>
      <c r="F455" s="101">
        <f>ROUND(IF(_Methodik="Gesamtinf",
AVERAGE(F451:F454)*(1+_WR)*(1-(I454-VLOOKUP('Erkrankungs- und Strukturdaten'!$C$45,$D:$M,$I$1,FALSE))/$B$6),
IF(_Methodik="Neuinf",AVERAGE(F445:F451)*(AVERAGE($F448:$F454)/AVERAGE($F441:$F447))^(1/IF(D455-7&gt;_Datum,1,Prognoseparameter!$T$16)),
(I454)*(1+($B$29*(1-(I454)/$B$6)))-(I454))),4)+0.000001</f>
        <v>2505.050401</v>
      </c>
      <c r="G455" s="140">
        <f>ROUND(IFERROR(IF(_Methodik="Gesamtinf",
AVERAGE(G451:G454)*(1+_WR)*(1-(VLOOKUP(D455-1,$D:$M,$J$1+(_AusgangswertKURZ="Regionaler Ausgangswert"),FALSE)-VLOOKUP('Erkrankungs- und Strukturdaten'!$C$45,$D:$M,$J$1+(_AusgangswertKURZ="Regionaler Ausgangswert"),FALSE))/$B$16),
IF(_Methodik="Neuinf",AVERAGE(G445:G451)*(AVERAGE(G448:G454)/AVERAGE(G441:G447))^(1/IF($D455-7&gt;_Datum,1,Prognoseparameter!$T$16)),
VLOOKUP(D455-1,D:L,$J$1+(_AusgangswertKURZ="Regionaler Ausgangswert"),FALSE)*(1+($B$29*(1-VLOOKUP(D455-1,D:L,$J$1+(_AusgangswertKURZ="Regionaler Ausgangswert"),FALSE)/$B$16)))-VLOOKUP(D455-1,D:L,$J$1+(_AusgangswertKURZ="Regionaler Ausgangswert"),FALSE))),0),4)+0.000001</f>
        <v>9.9999999999999995E-7</v>
      </c>
      <c r="H455" s="64">
        <f>E455/'Erkrankungs- und Strukturdaten'!$C$7</f>
        <v>4480.8864842457579</v>
      </c>
      <c r="I455" s="64">
        <f t="shared" si="51"/>
        <v>648299.89530900004</v>
      </c>
      <c r="J455" s="64">
        <f t="shared" si="47"/>
        <v>9.0000000000000002E-6</v>
      </c>
      <c r="K455" s="101">
        <f>IFERROR(IF(D455=_Datum,Prognoseparameter!$C$14,
IF(_WachstumsrateKURZ="Bundesweit",IF(D455&gt;_Datum,
         K454+AVERAGE(F451:F454)*(1+_WR)*(1-(K454-VLOOKUP('Erkrankungs- und Strukturdaten'!$C$45,$D:$M,$K$1,FALSE))/$B$16),
         K456-$B$23*F456),
IF(D455&gt;_Datum,K454+G455,IF(G456="",K456/(K456^(1/N455)),K456-G456)))),"")</f>
        <v>19849.784605333709</v>
      </c>
      <c r="L455" s="64">
        <f>I455/'Erkrankungs- und Strukturdaten'!$C$7</f>
        <v>1178727.08238</v>
      </c>
      <c r="M455" s="65">
        <f t="shared" si="48"/>
        <v>3.8790188877348909E-3</v>
      </c>
      <c r="N455" s="163">
        <v>217</v>
      </c>
      <c r="O455" s="222">
        <f t="shared" si="49"/>
        <v>0</v>
      </c>
    </row>
    <row r="456" spans="4:15" x14ac:dyDescent="0.2">
      <c r="D456" s="86">
        <v>44310</v>
      </c>
      <c r="E456" s="64">
        <f t="shared" si="50"/>
        <v>1775.4178605995714</v>
      </c>
      <c r="F456" s="101">
        <f>ROUND(IF(_Methodik="Gesamtinf",
AVERAGE(F452:F455)*(1+_WR)*(1-(I455-VLOOKUP('Erkrankungs- und Strukturdaten'!$C$45,$D:$M,$I$1,FALSE))/$B$6),
IF(_Methodik="Neuinf",AVERAGE(F446:F452)*(AVERAGE($F449:$F455)/AVERAGE($F442:$F448))^(1/IF(D456-7&gt;_Datum,1,Prognoseparameter!$T$16)),
(I455)*(1+($B$29*(1-(I455)/$B$6)))-(I455))),4)+0.000001</f>
        <v>2429.2830009999998</v>
      </c>
      <c r="G456" s="140">
        <f>ROUND(IFERROR(IF(_Methodik="Gesamtinf",
AVERAGE(G452:G455)*(1+_WR)*(1-(VLOOKUP(D456-1,$D:$M,$J$1+(_AusgangswertKURZ="Regionaler Ausgangswert"),FALSE)-VLOOKUP('Erkrankungs- und Strukturdaten'!$C$45,$D:$M,$J$1+(_AusgangswertKURZ="Regionaler Ausgangswert"),FALSE))/$B$16),
IF(_Methodik="Neuinf",AVERAGE(G446:G452)*(AVERAGE(G449:G455)/AVERAGE(G442:G448))^(1/IF($D456-7&gt;_Datum,1,Prognoseparameter!$T$16)),
VLOOKUP(D456-1,D:L,$J$1+(_AusgangswertKURZ="Regionaler Ausgangswert"),FALSE)*(1+($B$29*(1-VLOOKUP(D456-1,D:L,$J$1+(_AusgangswertKURZ="Regionaler Ausgangswert"),FALSE)/$B$16)))-VLOOKUP(D456-1,D:L,$J$1+(_AusgangswertKURZ="Regionaler Ausgangswert"),FALSE))),0),4)+0.000001</f>
        <v>9.9999999999999995E-7</v>
      </c>
      <c r="H456" s="64">
        <f>E456/'Erkrankungs- und Strukturdaten'!$C$7</f>
        <v>3228.0324738174022</v>
      </c>
      <c r="I456" s="64">
        <f t="shared" si="51"/>
        <v>650729.17830999999</v>
      </c>
      <c r="J456" s="64">
        <f t="shared" si="47"/>
        <v>1.0000000000000001E-5</v>
      </c>
      <c r="K456" s="101">
        <f>IFERROR(IF(D456=_Datum,Prognoseparameter!$C$14,
IF(_WachstumsrateKURZ="Bundesweit",IF(D456&gt;_Datum,
         K455+AVERAGE(F452:F455)*(1+_WR)*(1-(K455-VLOOKUP('Erkrankungs- und Strukturdaten'!$C$45,$D:$M,$K$1,FALSE))/$B$16),
         K457-$B$23*F457),
IF(D456&gt;_Datum,K455+G456,IF(G457="",K457/(K457^(1/N456)),K457-G457)))),"")</f>
        <v>22151.916058107738</v>
      </c>
      <c r="L456" s="64">
        <f>I456/'Erkrankungs- und Strukturdaten'!$C$7</f>
        <v>1183143.9605636362</v>
      </c>
      <c r="M456" s="65">
        <f t="shared" si="48"/>
        <v>3.7471593294675343E-3</v>
      </c>
      <c r="N456" s="163">
        <v>217</v>
      </c>
      <c r="O456" s="222">
        <f t="shared" si="49"/>
        <v>0</v>
      </c>
    </row>
    <row r="457" spans="4:15" x14ac:dyDescent="0.2">
      <c r="D457" s="86">
        <v>44311</v>
      </c>
      <c r="E457" s="64">
        <f t="shared" si="50"/>
        <v>1343.8824999183698</v>
      </c>
      <c r="F457" s="101">
        <f>ROUND(IF(_Methodik="Gesamtinf",
AVERAGE(F453:F456)*(1+_WR)*(1-(I456-VLOOKUP('Erkrankungs- und Strukturdaten'!$C$45,$D:$M,$I$1,FALSE))/$B$6),
IF(_Methodik="Neuinf",AVERAGE(F447:F453)*(AVERAGE($F450:$F456)/AVERAGE($F443:$F449))^(1/IF(D457-7&gt;_Datum,1,Prognoseparameter!$T$16)),
(I456)*(1+($B$29*(1-(I456)/$B$6)))-(I456))),4)+0.000001</f>
        <v>2455.918001</v>
      </c>
      <c r="G457" s="140">
        <f>ROUND(IFERROR(IF(_Methodik="Gesamtinf",
AVERAGE(G453:G456)*(1+_WR)*(1-(VLOOKUP(D457-1,$D:$M,$J$1+(_AusgangswertKURZ="Regionaler Ausgangswert"),FALSE)-VLOOKUP('Erkrankungs- und Strukturdaten'!$C$45,$D:$M,$J$1+(_AusgangswertKURZ="Regionaler Ausgangswert"),FALSE))/$B$16),
IF(_Methodik="Neuinf",AVERAGE(G447:G453)*(AVERAGE(G450:G456)/AVERAGE(G443:G449))^(1/IF($D457-7&gt;_Datum,1,Prognoseparameter!$T$16)),
VLOOKUP(D457-1,D:L,$J$1+(_AusgangswertKURZ="Regionaler Ausgangswert"),FALSE)*(1+($B$29*(1-VLOOKUP(D457-1,D:L,$J$1+(_AusgangswertKURZ="Regionaler Ausgangswert"),FALSE)/$B$16)))-VLOOKUP(D457-1,D:L,$J$1+(_AusgangswertKURZ="Regionaler Ausgangswert"),FALSE))),0),4)+0.000001</f>
        <v>9.9999999999999995E-7</v>
      </c>
      <c r="H457" s="64">
        <f>E457/'Erkrankungs- und Strukturdaten'!$C$7</f>
        <v>2443.4227271243085</v>
      </c>
      <c r="I457" s="64">
        <f t="shared" si="51"/>
        <v>653185.09631099994</v>
      </c>
      <c r="J457" s="64">
        <f t="shared" si="47"/>
        <v>1.1000000000000001E-5</v>
      </c>
      <c r="K457" s="101">
        <f>IFERROR(IF(D457=_Datum,Prognoseparameter!$C$14,
IF(_WachstumsrateKURZ="Bundesweit",IF(D457&gt;_Datum,
         K456+AVERAGE(F453:F456)*(1+_WR)*(1-(K456-VLOOKUP('Erkrankungs- und Strukturdaten'!$C$45,$D:$M,$K$1,FALSE))/$B$16),
         K458-$B$23*F458),
IF(D457&gt;_Datum,K456+G457,IF(G458="",K458/(K458^(1/N457)),K458-G458)))),"")</f>
        <v>24548.599484355709</v>
      </c>
      <c r="L457" s="64">
        <f>I457/'Erkrankungs- und Strukturdaten'!$C$7</f>
        <v>1187609.2660199997</v>
      </c>
      <c r="M457" s="65">
        <f t="shared" si="48"/>
        <v>3.7741015507836706E-3</v>
      </c>
      <c r="N457" s="163">
        <v>217</v>
      </c>
      <c r="O457" s="222">
        <f t="shared" si="49"/>
        <v>0</v>
      </c>
    </row>
    <row r="458" spans="4:15" x14ac:dyDescent="0.2">
      <c r="D458" s="86">
        <v>44312</v>
      </c>
      <c r="E458" s="64">
        <f t="shared" si="50"/>
        <v>2858.7592571766427</v>
      </c>
      <c r="F458" s="101">
        <f>ROUND(IF(_Methodik="Gesamtinf",
AVERAGE(F454:F457)*(1+_WR)*(1-(I457-VLOOKUP('Erkrankungs- und Strukturdaten'!$C$45,$D:$M,$I$1,FALSE))/$B$6),
IF(_Methodik="Neuinf",AVERAGE(F448:F454)*(AVERAGE($F451:$F457)/AVERAGE($F444:$F450))^(1/IF(D458-7&gt;_Datum,1,Prognoseparameter!$T$16)),
(I457)*(1+($B$29*(1-(I457)/$B$6)))-(I457))),4)+0.000001</f>
        <v>2357.6135009999998</v>
      </c>
      <c r="G458" s="140">
        <f>ROUND(IFERROR(IF(_Methodik="Gesamtinf",
AVERAGE(G454:G457)*(1+_WR)*(1-(VLOOKUP(D458-1,$D:$M,$J$1+(_AusgangswertKURZ="Regionaler Ausgangswert"),FALSE)-VLOOKUP('Erkrankungs- und Strukturdaten'!$C$45,$D:$M,$J$1+(_AusgangswertKURZ="Regionaler Ausgangswert"),FALSE))/$B$16),
IF(_Methodik="Neuinf",AVERAGE(G448:G454)*(AVERAGE(G451:G457)/AVERAGE(G444:G450))^(1/IF($D458-7&gt;_Datum,1,Prognoseparameter!$T$16)),
VLOOKUP(D458-1,D:L,$J$1+(_AusgangswertKURZ="Regionaler Ausgangswert"),FALSE)*(1+($B$29*(1-VLOOKUP(D458-1,D:L,$J$1+(_AusgangswertKURZ="Regionaler Ausgangswert"),FALSE)/$B$16)))-VLOOKUP(D458-1,D:L,$J$1+(_AusgangswertKURZ="Regionaler Ausgangswert"),FALSE))),0),4)+0.000001</f>
        <v>9.9999999999999995E-7</v>
      </c>
      <c r="H458" s="64">
        <f>E458/'Erkrankungs- und Strukturdaten'!$C$7</f>
        <v>5197.7441039575315</v>
      </c>
      <c r="I458" s="64">
        <f t="shared" si="51"/>
        <v>655542.70981199993</v>
      </c>
      <c r="J458" s="64">
        <f t="shared" si="47"/>
        <v>1.2000000000000002E-5</v>
      </c>
      <c r="K458" s="101">
        <f>IFERROR(IF(D458=_Datum,Prognoseparameter!$C$14,
IF(_WachstumsrateKURZ="Bundesweit",IF(D458&gt;_Datum,
         K457+AVERAGE(F454:F457)*(1+_WR)*(1-(K457-VLOOKUP('Erkrankungs- und Strukturdaten'!$C$45,$D:$M,$K$1,FALSE))/$B$16),
         K459-$B$23*F459),
IF(D458&gt;_Datum,K457+G458,IF(G459="",K459/(K459^(1/N458)),K459-G459)))),"")</f>
        <v>27021.779330673631</v>
      </c>
      <c r="L458" s="64">
        <f>I458/'Erkrankungs- und Strukturdaten'!$C$7</f>
        <v>1191895.836021818</v>
      </c>
      <c r="M458" s="65">
        <f t="shared" si="48"/>
        <v>3.6094110449168279E-3</v>
      </c>
      <c r="N458" s="163">
        <v>217</v>
      </c>
      <c r="O458" s="222">
        <f t="shared" si="49"/>
        <v>0</v>
      </c>
    </row>
    <row r="459" spans="4:15" x14ac:dyDescent="0.2">
      <c r="D459" s="86">
        <v>44313</v>
      </c>
      <c r="E459" s="64">
        <f t="shared" si="50"/>
        <v>3037.7309221897699</v>
      </c>
      <c r="F459" s="101">
        <f>ROUND(IF(_Methodik="Gesamtinf",
AVERAGE(F455:F458)*(1+_WR)*(1-(I458-VLOOKUP('Erkrankungs- und Strukturdaten'!$C$45,$D:$M,$I$1,FALSE))/$B$6),
IF(_Methodik="Neuinf",AVERAGE(F449:F455)*(AVERAGE($F452:$F458)/AVERAGE($F445:$F451))^(1/IF(D459-7&gt;_Datum,1,Prognoseparameter!$T$16)),
(I458)*(1+($B$29*(1-(I458)/$B$6)))-(I458))),4)+0.000001</f>
        <v>2427.0179009999997</v>
      </c>
      <c r="G459" s="140">
        <f>ROUND(IFERROR(IF(_Methodik="Gesamtinf",
AVERAGE(G455:G458)*(1+_WR)*(1-(VLOOKUP(D459-1,$D:$M,$J$1+(_AusgangswertKURZ="Regionaler Ausgangswert"),FALSE)-VLOOKUP('Erkrankungs- und Strukturdaten'!$C$45,$D:$M,$J$1+(_AusgangswertKURZ="Regionaler Ausgangswert"),FALSE))/$B$16),
IF(_Methodik="Neuinf",AVERAGE(G449:G455)*(AVERAGE(G452:G458)/AVERAGE(G445:G451))^(1/IF($D459-7&gt;_Datum,1,Prognoseparameter!$T$16)),
VLOOKUP(D459-1,D:L,$J$1+(_AusgangswertKURZ="Regionaler Ausgangswert"),FALSE)*(1+($B$29*(1-VLOOKUP(D459-1,D:L,$J$1+(_AusgangswertKURZ="Regionaler Ausgangswert"),FALSE)/$B$16)))-VLOOKUP(D459-1,D:L,$J$1+(_AusgangswertKURZ="Regionaler Ausgangswert"),FALSE))),0),4)+0.000001</f>
        <v>9.9999999999999995E-7</v>
      </c>
      <c r="H459" s="64">
        <f>E459/'Erkrankungs- und Strukturdaten'!$C$7</f>
        <v>5523.1471312541271</v>
      </c>
      <c r="I459" s="64">
        <f t="shared" si="51"/>
        <v>657969.72771299991</v>
      </c>
      <c r="J459" s="64">
        <f t="shared" si="47"/>
        <v>1.3000000000000003E-5</v>
      </c>
      <c r="K459" s="101">
        <f>IFERROR(IF(D459=_Datum,Prognoseparameter!$C$14,
IF(_WachstumsrateKURZ="Bundesweit",IF(D459&gt;_Datum,
         K458+AVERAGE(F455:F458)*(1+_WR)*(1-(K458-VLOOKUP('Erkrankungs- und Strukturdaten'!$C$45,$D:$M,$K$1,FALSE))/$B$16),
         K460-$B$23*F460),
IF(D459&gt;_Datum,K458+G459,IF(G460="",K460/(K460^(1/N459)),K460-G460)))),"")</f>
        <v>29446.618190079</v>
      </c>
      <c r="L459" s="64">
        <f>I459/'Erkrankungs- und Strukturdaten'!$C$7</f>
        <v>1196308.595841818</v>
      </c>
      <c r="M459" s="65">
        <f t="shared" si="48"/>
        <v>3.7023032438207085E-3</v>
      </c>
      <c r="N459" s="163">
        <v>217</v>
      </c>
      <c r="O459" s="222">
        <f t="shared" si="49"/>
        <v>0</v>
      </c>
    </row>
    <row r="460" spans="4:15" x14ac:dyDescent="0.2">
      <c r="D460" s="86">
        <v>44314</v>
      </c>
      <c r="E460" s="64">
        <f t="shared" si="50"/>
        <v>2903.6472762971821</v>
      </c>
      <c r="F460" s="101">
        <f>ROUND(IF(_Methodik="Gesamtinf",
AVERAGE(F456:F459)*(1+_WR)*(1-(I459-VLOOKUP('Erkrankungs- und Strukturdaten'!$C$45,$D:$M,$I$1,FALSE))/$B$6),
IF(_Methodik="Neuinf",AVERAGE(F450:F456)*(AVERAGE($F453:$F459)/AVERAGE($F446:$F452))^(1/IF(D460-7&gt;_Datum,1,Prognoseparameter!$T$16)),
(I459)*(1+($B$29*(1-(I459)/$B$6)))-(I459))),4)+0.000001</f>
        <v>2551.5153009999999</v>
      </c>
      <c r="G460" s="140">
        <f>ROUND(IFERROR(IF(_Methodik="Gesamtinf",
AVERAGE(G456:G459)*(1+_WR)*(1-(VLOOKUP(D460-1,$D:$M,$J$1+(_AusgangswertKURZ="Regionaler Ausgangswert"),FALSE)-VLOOKUP('Erkrankungs- und Strukturdaten'!$C$45,$D:$M,$J$1+(_AusgangswertKURZ="Regionaler Ausgangswert"),FALSE))/$B$16),
IF(_Methodik="Neuinf",AVERAGE(G450:G456)*(AVERAGE(G453:G459)/AVERAGE(G446:G452))^(1/IF($D460-7&gt;_Datum,1,Prognoseparameter!$T$16)),
VLOOKUP(D460-1,D:L,$J$1+(_AusgangswertKURZ="Regionaler Ausgangswert"),FALSE)*(1+($B$29*(1-VLOOKUP(D460-1,D:L,$J$1+(_AusgangswertKURZ="Regionaler Ausgangswert"),FALSE)/$B$16)))-VLOOKUP(D460-1,D:L,$J$1+(_AusgangswertKURZ="Regionaler Ausgangswert"),FALSE))),0),4)+0.000001</f>
        <v>9.9999999999999995E-7</v>
      </c>
      <c r="H460" s="64">
        <f>E460/'Erkrankungs- und Strukturdaten'!$C$7</f>
        <v>5279.3586841766946</v>
      </c>
      <c r="I460" s="64">
        <f t="shared" si="51"/>
        <v>660521.24301399989</v>
      </c>
      <c r="J460" s="64">
        <f t="shared" si="47"/>
        <v>1.4000000000000003E-5</v>
      </c>
      <c r="K460" s="101">
        <f>IFERROR(IF(D460=_Datum,Prognoseparameter!$C$14,
IF(_WachstumsrateKURZ="Bundesweit",IF(D460&gt;_Datum,
         K459+AVERAGE(F456:F459)*(1+_WR)*(1-(K459-VLOOKUP('Erkrankungs- und Strukturdaten'!$C$45,$D:$M,$K$1,FALSE))/$B$16),
         K461-$B$23*F461),
IF(D460&gt;_Datum,K459+G460,IF(G461="",K461/(K461^(1/N460)),K461-G461)))),"")</f>
        <v>31850.258247763195</v>
      </c>
      <c r="L460" s="64">
        <f>I460/'Erkrankungs- und Strukturdaten'!$C$7</f>
        <v>1200947.7145709088</v>
      </c>
      <c r="M460" s="65">
        <f t="shared" si="48"/>
        <v>3.8778612351492926E-3</v>
      </c>
      <c r="N460" s="163">
        <v>217</v>
      </c>
      <c r="O460" s="222">
        <f t="shared" si="49"/>
        <v>0</v>
      </c>
    </row>
    <row r="461" spans="4:15" x14ac:dyDescent="0.2">
      <c r="D461" s="86">
        <v>44315</v>
      </c>
      <c r="E461" s="64">
        <f t="shared" si="50"/>
        <v>2888.9911646086703</v>
      </c>
      <c r="F461" s="101">
        <f>ROUND(IF(_Methodik="Gesamtinf",
AVERAGE(F457:F460)*(1+_WR)*(1-(I460-VLOOKUP('Erkrankungs- und Strukturdaten'!$C$45,$D:$M,$I$1,FALSE))/$B$6),
IF(_Methodik="Neuinf",AVERAGE(F451:F457)*(AVERAGE($F454:$F460)/AVERAGE($F447:$F453))^(1/IF(D461-7&gt;_Datum,1,Prognoseparameter!$T$16)),
(I460)*(1+($B$29*(1-(I460)/$B$6)))-(I460))),4)+0.000001</f>
        <v>2543.247801</v>
      </c>
      <c r="G461" s="140">
        <f>ROUND(IFERROR(IF(_Methodik="Gesamtinf",
AVERAGE(G457:G460)*(1+_WR)*(1-(VLOOKUP(D461-1,$D:$M,$J$1+(_AusgangswertKURZ="Regionaler Ausgangswert"),FALSE)-VLOOKUP('Erkrankungs- und Strukturdaten'!$C$45,$D:$M,$J$1+(_AusgangswertKURZ="Regionaler Ausgangswert"),FALSE))/$B$16),
IF(_Methodik="Neuinf",AVERAGE(G451:G457)*(AVERAGE(G454:G460)/AVERAGE(G447:G453))^(1/IF($D461-7&gt;_Datum,1,Prognoseparameter!$T$16)),
VLOOKUP(D461-1,D:L,$J$1+(_AusgangswertKURZ="Regionaler Ausgangswert"),FALSE)*(1+($B$29*(1-VLOOKUP(D461-1,D:L,$J$1+(_AusgangswertKURZ="Regionaler Ausgangswert"),FALSE)/$B$16)))-VLOOKUP(D461-1,D:L,$J$1+(_AusgangswertKURZ="Regionaler Ausgangswert"),FALSE))),0),4)+0.000001</f>
        <v>9.9999999999999995E-7</v>
      </c>
      <c r="H461" s="64">
        <f>E461/'Erkrankungs- und Strukturdaten'!$C$7</f>
        <v>5252.7112083794</v>
      </c>
      <c r="I461" s="64">
        <f t="shared" si="51"/>
        <v>663064.49081499991</v>
      </c>
      <c r="J461" s="64">
        <f t="shared" si="47"/>
        <v>1.5000000000000004E-5</v>
      </c>
      <c r="K461" s="101">
        <f>IFERROR(IF(D461=_Datum,Prognoseparameter!$C$14,
IF(_WachstumsrateKURZ="Bundesweit",IF(D461&gt;_Datum,
         K460+AVERAGE(F457:F460)*(1+_WR)*(1-(K460-VLOOKUP('Erkrankungs- und Strukturdaten'!$C$45,$D:$M,$K$1,FALSE))/$B$16),
         K462-$B$23*F462),
IF(D461&gt;_Datum,K460+G461,IF(G462="",K462/(K462^(1/N461)),K462-G462)))),"")</f>
        <v>34282.487183493453</v>
      </c>
      <c r="L461" s="64">
        <f>I461/'Erkrankungs- und Strukturdaten'!$C$7</f>
        <v>1205571.8014818178</v>
      </c>
      <c r="M461" s="65">
        <f t="shared" si="48"/>
        <v>3.8503648866689286E-3</v>
      </c>
      <c r="N461" s="163">
        <v>217</v>
      </c>
      <c r="O461" s="222">
        <f t="shared" si="49"/>
        <v>0</v>
      </c>
    </row>
    <row r="462" spans="4:15" x14ac:dyDescent="0.2">
      <c r="D462" s="86">
        <v>44316</v>
      </c>
      <c r="E462" s="64">
        <f t="shared" si="50"/>
        <v>2492.3211551734003</v>
      </c>
      <c r="F462" s="101">
        <f>ROUND(IF(_Methodik="Gesamtinf",
AVERAGE(F458:F461)*(1+_WR)*(1-(I461-VLOOKUP('Erkrankungs- und Strukturdaten'!$C$45,$D:$M,$I$1,FALSE))/$B$6),
IF(_Methodik="Neuinf",AVERAGE(F452:F458)*(AVERAGE($F455:$F461)/AVERAGE($F448:$F454))^(1/IF(D462-7&gt;_Datum,1,Prognoseparameter!$T$16)),
(I461)*(1+($B$29*(1-(I461)/$B$6)))-(I461))),4)+0.000001</f>
        <v>2533.3421009999997</v>
      </c>
      <c r="G462" s="140">
        <f>ROUND(IFERROR(IF(_Methodik="Gesamtinf",
AVERAGE(G458:G461)*(1+_WR)*(1-(VLOOKUP(D462-1,$D:$M,$J$1+(_AusgangswertKURZ="Regionaler Ausgangswert"),FALSE)-VLOOKUP('Erkrankungs- und Strukturdaten'!$C$45,$D:$M,$J$1+(_AusgangswertKURZ="Regionaler Ausgangswert"),FALSE))/$B$16),
IF(_Methodik="Neuinf",AVERAGE(G452:G458)*(AVERAGE(G455:G461)/AVERAGE(G448:G454))^(1/IF($D462-7&gt;_Datum,1,Prognoseparameter!$T$16)),
VLOOKUP(D462-1,D:L,$J$1+(_AusgangswertKURZ="Regionaler Ausgangswert"),FALSE)*(1+($B$29*(1-VLOOKUP(D462-1,D:L,$J$1+(_AusgangswertKURZ="Regionaler Ausgangswert"),FALSE)/$B$16)))-VLOOKUP(D462-1,D:L,$J$1+(_AusgangswertKURZ="Regionaler Ausgangswert"),FALSE))),0),4)+0.000001</f>
        <v>9.9999999999999995E-7</v>
      </c>
      <c r="H462" s="64">
        <f>E462/'Erkrankungs- und Strukturdaten'!$C$7</f>
        <v>4531.493009406182</v>
      </c>
      <c r="I462" s="64">
        <f t="shared" si="51"/>
        <v>665597.83291599993</v>
      </c>
      <c r="J462" s="64">
        <f t="shared" si="47"/>
        <v>1.6000000000000003E-5</v>
      </c>
      <c r="K462" s="101">
        <f>IFERROR(IF(D462=_Datum,Prognoseparameter!$C$14,
IF(_WachstumsrateKURZ="Bundesweit",IF(D462&gt;_Datum,
         K461+AVERAGE(F458:F461)*(1+_WR)*(1-(K461-VLOOKUP('Erkrankungs- und Strukturdaten'!$C$45,$D:$M,$K$1,FALSE))/$B$16),
         K463-$B$23*F463),
IF(D462&gt;_Datum,K461+G462,IF(G463="",K463/(K463^(1/N462)),K463-G463)))),"")</f>
        <v>36734.575704197407</v>
      </c>
      <c r="L462" s="64">
        <f>I462/'Erkrankungs- und Strukturdaten'!$C$7</f>
        <v>1210177.8780290906</v>
      </c>
      <c r="M462" s="65">
        <f t="shared" si="48"/>
        <v>3.8206571699928938E-3</v>
      </c>
      <c r="N462" s="163">
        <v>217</v>
      </c>
      <c r="O462" s="222">
        <f t="shared" si="49"/>
        <v>0</v>
      </c>
    </row>
    <row r="463" spans="4:15" x14ac:dyDescent="0.2">
      <c r="D463" s="86">
        <v>44317</v>
      </c>
      <c r="E463" s="64">
        <f t="shared" si="50"/>
        <v>1902.9503658896203</v>
      </c>
      <c r="F463" s="101">
        <f>ROUND(IF(_Methodik="Gesamtinf",
AVERAGE(F459:F462)*(1+_WR)*(1-(I462-VLOOKUP('Erkrankungs- und Strukturdaten'!$C$45,$D:$M,$I$1,FALSE))/$B$6),
IF(_Methodik="Neuinf",AVERAGE(F453:F459)*(AVERAGE($F456:$F462)/AVERAGE($F449:$F455))^(1/IF(D463-7&gt;_Datum,1,Prognoseparameter!$T$16)),
(I462)*(1+($B$29*(1-(I462)/$B$6)))-(I462))),4)+0.000001</f>
        <v>2603.7842009999999</v>
      </c>
      <c r="G463" s="140">
        <f>ROUND(IFERROR(IF(_Methodik="Gesamtinf",
AVERAGE(G459:G462)*(1+_WR)*(1-(VLOOKUP(D463-1,$D:$M,$J$1+(_AusgangswertKURZ="Regionaler Ausgangswert"),FALSE)-VLOOKUP('Erkrankungs- und Strukturdaten'!$C$45,$D:$M,$J$1+(_AusgangswertKURZ="Regionaler Ausgangswert"),FALSE))/$B$16),
IF(_Methodik="Neuinf",AVERAGE(G453:G459)*(AVERAGE(G456:G462)/AVERAGE(G449:G455))^(1/IF($D463-7&gt;_Datum,1,Prognoseparameter!$T$16)),
VLOOKUP(D463-1,D:L,$J$1+(_AusgangswertKURZ="Regionaler Ausgangswert"),FALSE)*(1+($B$29*(1-VLOOKUP(D463-1,D:L,$J$1+(_AusgangswertKURZ="Regionaler Ausgangswert"),FALSE)/$B$16)))-VLOOKUP(D463-1,D:L,$J$1+(_AusgangswertKURZ="Regionaler Ausgangswert"),FALSE))),0),4)+0.000001</f>
        <v>9.9999999999999995E-7</v>
      </c>
      <c r="H463" s="64">
        <f>E463/'Erkrankungs- und Strukturdaten'!$C$7</f>
        <v>3459.909756162946</v>
      </c>
      <c r="I463" s="64">
        <f t="shared" si="51"/>
        <v>668201.61711699993</v>
      </c>
      <c r="J463" s="64">
        <f t="shared" si="47"/>
        <v>1.7000000000000003E-5</v>
      </c>
      <c r="K463" s="101">
        <f>IFERROR(IF(D463=_Datum,Prognoseparameter!$C$14,
IF(_WachstumsrateKURZ="Bundesweit",IF(D463&gt;_Datum,
         K462+AVERAGE(F459:F462)*(1+_WR)*(1-(K462-VLOOKUP('Erkrankungs- und Strukturdaten'!$C$45,$D:$M,$K$1,FALSE))/$B$16),
         K464-$B$23*F464),
IF(D463&gt;_Datum,K462+G463,IF(G464="",K464/(K464^(1/N463)),K464-G464)))),"")</f>
        <v>39228.400588419914</v>
      </c>
      <c r="L463" s="64">
        <f>I463/'Erkrankungs- und Strukturdaten'!$C$7</f>
        <v>1214912.0311218179</v>
      </c>
      <c r="M463" s="65">
        <f t="shared" si="48"/>
        <v>3.9119481347959948E-3</v>
      </c>
      <c r="N463" s="163">
        <v>217</v>
      </c>
      <c r="O463" s="222">
        <f t="shared" si="49"/>
        <v>0</v>
      </c>
    </row>
    <row r="464" spans="4:15" x14ac:dyDescent="0.2">
      <c r="D464" s="86">
        <v>44318</v>
      </c>
      <c r="E464" s="64">
        <f t="shared" si="50"/>
        <v>1461.4215887762537</v>
      </c>
      <c r="F464" s="101">
        <f>ROUND(IF(_Methodik="Gesamtinf",
AVERAGE(F460:F463)*(1+_WR)*(1-(I463-VLOOKUP('Erkrankungs- und Strukturdaten'!$C$45,$D:$M,$I$1,FALSE))/$B$6),
IF(_Methodik="Neuinf",AVERAGE(F454:F460)*(AVERAGE($F457:$F463)/AVERAGE($F450:$F456))^(1/IF(D464-7&gt;_Datum,1,Prognoseparameter!$T$16)),
(I463)*(1+($B$29*(1-(I463)/$B$6)))-(I463))),4)+0.000001</f>
        <v>2670.7183009999999</v>
      </c>
      <c r="G464" s="140">
        <f>ROUND(IFERROR(IF(_Methodik="Gesamtinf",
AVERAGE(G460:G463)*(1+_WR)*(1-(VLOOKUP(D464-1,$D:$M,$J$1+(_AusgangswertKURZ="Regionaler Ausgangswert"),FALSE)-VLOOKUP('Erkrankungs- und Strukturdaten'!$C$45,$D:$M,$J$1+(_AusgangswertKURZ="Regionaler Ausgangswert"),FALSE))/$B$16),
IF(_Methodik="Neuinf",AVERAGE(G454:G460)*(AVERAGE(G457:G463)/AVERAGE(G450:G456))^(1/IF($D464-7&gt;_Datum,1,Prognoseparameter!$T$16)),
VLOOKUP(D464-1,D:L,$J$1+(_AusgangswertKURZ="Regionaler Ausgangswert"),FALSE)*(1+($B$29*(1-VLOOKUP(D464-1,D:L,$J$1+(_AusgangswertKURZ="Regionaler Ausgangswert"),FALSE)/$B$16)))-VLOOKUP(D464-1,D:L,$J$1+(_AusgangswertKURZ="Regionaler Ausgangswert"),FALSE))),0),4)+0.000001</f>
        <v>9.9999999999999995E-7</v>
      </c>
      <c r="H464" s="64">
        <f>E464/'Erkrankungs- und Strukturdaten'!$C$7</f>
        <v>2657.13016141137</v>
      </c>
      <c r="I464" s="64">
        <f t="shared" si="51"/>
        <v>670872.33541799989</v>
      </c>
      <c r="J464" s="64">
        <f t="shared" si="47"/>
        <v>1.8000000000000004E-5</v>
      </c>
      <c r="K464" s="101">
        <f>IFERROR(IF(D464=_Datum,Prognoseparameter!$C$14,
IF(_WachstumsrateKURZ="Bundesweit",IF(D464&gt;_Datum,
         K463+AVERAGE(F460:F463)*(1+_WR)*(1-(K463-VLOOKUP('Erkrankungs- und Strukturdaten'!$C$45,$D:$M,$K$1,FALSE))/$B$16),
         K465-$B$23*F465),
IF(D464&gt;_Datum,K463+G464,IF(G465="",K465/(K465^(1/N464)),K465-G465)))),"")</f>
        <v>41764.120740667415</v>
      </c>
      <c r="L464" s="64">
        <f>I464/'Erkrankungs- und Strukturdaten'!$C$7</f>
        <v>1219767.8825781816</v>
      </c>
      <c r="M464" s="65">
        <f t="shared" si="48"/>
        <v>3.9968749440070913E-3</v>
      </c>
      <c r="N464" s="163">
        <v>217</v>
      </c>
      <c r="O464" s="222">
        <f t="shared" si="49"/>
        <v>0</v>
      </c>
    </row>
    <row r="465" spans="4:15" x14ac:dyDescent="0.2">
      <c r="D465" s="86">
        <v>44319</v>
      </c>
      <c r="E465" s="64">
        <f t="shared" si="50"/>
        <v>3223.5898271636734</v>
      </c>
      <c r="F465" s="101">
        <f>ROUND(IF(_Methodik="Gesamtinf",
AVERAGE(F461:F464)*(1+_WR)*(1-(I464-VLOOKUP('Erkrankungs- und Strukturdaten'!$C$45,$D:$M,$I$1,FALSE))/$B$6),
IF(_Methodik="Neuinf",AVERAGE(F455:F461)*(AVERAGE($F458:$F464)/AVERAGE($F451:$F457))^(1/IF(D465-7&gt;_Datum,1,Prognoseparameter!$T$16)),
(I464)*(1+($B$29*(1-(I464)/$B$6)))-(I464))),4)+0.000001</f>
        <v>2658.488601</v>
      </c>
      <c r="G465" s="140">
        <f>ROUND(IFERROR(IF(_Methodik="Gesamtinf",
AVERAGE(G461:G464)*(1+_WR)*(1-(VLOOKUP(D465-1,$D:$M,$J$1+(_AusgangswertKURZ="Regionaler Ausgangswert"),FALSE)-VLOOKUP('Erkrankungs- und Strukturdaten'!$C$45,$D:$M,$J$1+(_AusgangswertKURZ="Regionaler Ausgangswert"),FALSE))/$B$16),
IF(_Methodik="Neuinf",AVERAGE(G455:G461)*(AVERAGE(G458:G464)/AVERAGE(G451:G457))^(1/IF($D465-7&gt;_Datum,1,Prognoseparameter!$T$16)),
VLOOKUP(D465-1,D:L,$J$1+(_AusgangswertKURZ="Regionaler Ausgangswert"),FALSE)*(1+($B$29*(1-VLOOKUP(D465-1,D:L,$J$1+(_AusgangswertKURZ="Regionaler Ausgangswert"),FALSE)/$B$16)))-VLOOKUP(D465-1,D:L,$J$1+(_AusgangswertKURZ="Regionaler Ausgangswert"),FALSE))),0),4)+0.000001</f>
        <v>9.9999999999999995E-7</v>
      </c>
      <c r="H465" s="64">
        <f>E465/'Erkrankungs- und Strukturdaten'!$C$7</f>
        <v>5861.07241302486</v>
      </c>
      <c r="I465" s="64">
        <f t="shared" si="51"/>
        <v>673530.82401899993</v>
      </c>
      <c r="J465" s="64">
        <f t="shared" si="47"/>
        <v>1.9000000000000004E-5</v>
      </c>
      <c r="K465" s="101">
        <f>IFERROR(IF(D465=_Datum,Prognoseparameter!$C$14,
IF(_WachstumsrateKURZ="Bundesweit",IF(D465&gt;_Datum,
         K464+AVERAGE(F461:F464)*(1+_WR)*(1-(K464-VLOOKUP('Erkrankungs- und Strukturdaten'!$C$45,$D:$M,$K$1,FALSE))/$B$16),
         K466-$B$23*F466),
IF(D465&gt;_Datum,K464+G465,IF(G466="",K466/(K466^(1/N465)),K466-G466)))),"")</f>
        <v>44327.381184271348</v>
      </c>
      <c r="L465" s="64">
        <f>I465/'Erkrankungs- und Strukturdaten'!$C$7</f>
        <v>1224601.4982163634</v>
      </c>
      <c r="M465" s="65">
        <f t="shared" si="48"/>
        <v>3.9627339817845161E-3</v>
      </c>
      <c r="N465" s="163">
        <v>217</v>
      </c>
      <c r="O465" s="222">
        <f t="shared" si="49"/>
        <v>0</v>
      </c>
    </row>
    <row r="466" spans="4:15" x14ac:dyDescent="0.2">
      <c r="D466" s="86">
        <v>44320</v>
      </c>
      <c r="E466" s="64">
        <f t="shared" si="50"/>
        <v>3376.5841155732787</v>
      </c>
      <c r="F466" s="101">
        <f>ROUND(IF(_Methodik="Gesamtinf",
AVERAGE(F462:F465)*(1+_WR)*(1-(I465-VLOOKUP('Erkrankungs- und Strukturdaten'!$C$45,$D:$M,$I$1,FALSE))/$B$6),
IF(_Methodik="Neuinf",AVERAGE(F456:F462)*(AVERAGE($F459:$F465)/AVERAGE($F452:$F458))^(1/IF(D466-7&gt;_Datum,1,Prognoseparameter!$T$16)),
(I465)*(1+($B$29*(1-(I465)/$B$6)))-(I465))),4)+0.000001</f>
        <v>2697.7472009999997</v>
      </c>
      <c r="G466" s="140">
        <f>ROUND(IFERROR(IF(_Methodik="Gesamtinf",
AVERAGE(G462:G465)*(1+_WR)*(1-(VLOOKUP(D466-1,$D:$M,$J$1+(_AusgangswertKURZ="Regionaler Ausgangswert"),FALSE)-VLOOKUP('Erkrankungs- und Strukturdaten'!$C$45,$D:$M,$J$1+(_AusgangswertKURZ="Regionaler Ausgangswert"),FALSE))/$B$16),
IF(_Methodik="Neuinf",AVERAGE(G456:G462)*(AVERAGE(G459:G465)/AVERAGE(G452:G458))^(1/IF($D466-7&gt;_Datum,1,Prognoseparameter!$T$16)),
VLOOKUP(D466-1,D:L,$J$1+(_AusgangswertKURZ="Regionaler Ausgangswert"),FALSE)*(1+($B$29*(1-VLOOKUP(D466-1,D:L,$J$1+(_AusgangswertKURZ="Regionaler Ausgangswert"),FALSE)/$B$16)))-VLOOKUP(D466-1,D:L,$J$1+(_AusgangswertKURZ="Regionaler Ausgangswert"),FALSE))),0),4)+0.000001</f>
        <v>9.9999999999999995E-7</v>
      </c>
      <c r="H466" s="64">
        <f>E466/'Erkrankungs- und Strukturdaten'!$C$7</f>
        <v>6139.24384649687</v>
      </c>
      <c r="I466" s="64">
        <f t="shared" si="51"/>
        <v>676228.57121999993</v>
      </c>
      <c r="J466" s="64">
        <f t="shared" si="47"/>
        <v>2.0000000000000005E-5</v>
      </c>
      <c r="K466" s="101">
        <f>IFERROR(IF(D466=_Datum,Prognoseparameter!$C$14,
IF(_WachstumsrateKURZ="Bundesweit",IF(D466&gt;_Datum,
         K465+AVERAGE(F462:F465)*(1+_WR)*(1-(K465-VLOOKUP('Erkrankungs- und Strukturdaten'!$C$45,$D:$M,$K$1,FALSE))/$B$16),
         K467-$B$23*F467),
IF(D466&gt;_Datum,K465+G466,IF(G467="",K467/(K467^(1/N466)),K467-G467)))),"")</f>
        <v>46917.133449196568</v>
      </c>
      <c r="L466" s="64">
        <f>I466/'Erkrankungs- und Strukturdaten'!$C$7</f>
        <v>1229506.4931272725</v>
      </c>
      <c r="M466" s="65">
        <f t="shared" si="48"/>
        <v>4.0053804589110968E-3</v>
      </c>
      <c r="N466" s="163">
        <v>217</v>
      </c>
      <c r="O466" s="222">
        <f t="shared" si="49"/>
        <v>0</v>
      </c>
    </row>
    <row r="467" spans="4:15" x14ac:dyDescent="0.2">
      <c r="D467" s="86">
        <v>44321</v>
      </c>
      <c r="E467" s="64">
        <f t="shared" si="50"/>
        <v>3076.0575684819801</v>
      </c>
      <c r="F467" s="101">
        <f>ROUND(IF(_Methodik="Gesamtinf",
AVERAGE(F463:F466)*(1+_WR)*(1-(I466-VLOOKUP('Erkrankungs- und Strukturdaten'!$C$45,$D:$M,$I$1,FALSE))/$B$6),
IF(_Methodik="Neuinf",AVERAGE(F457:F463)*(AVERAGE($F460:$F466)/AVERAGE($F453:$F459))^(1/IF(D467-7&gt;_Datum,1,Prognoseparameter!$T$16)),
(I466)*(1+($B$29*(1-(I466)/$B$6)))-(I466))),4)+0.000001</f>
        <v>2703.0170009999997</v>
      </c>
      <c r="G467" s="140">
        <f>ROUND(IFERROR(IF(_Methodik="Gesamtinf",
AVERAGE(G463:G466)*(1+_WR)*(1-(VLOOKUP(D467-1,$D:$M,$J$1+(_AusgangswertKURZ="Regionaler Ausgangswert"),FALSE)-VLOOKUP('Erkrankungs- und Strukturdaten'!$C$45,$D:$M,$J$1+(_AusgangswertKURZ="Regionaler Ausgangswert"),FALSE))/$B$16),
IF(_Methodik="Neuinf",AVERAGE(G457:G463)*(AVERAGE(G460:G466)/AVERAGE(G453:G459))^(1/IF($D467-7&gt;_Datum,1,Prognoseparameter!$T$16)),
VLOOKUP(D467-1,D:L,$J$1+(_AusgangswertKURZ="Regionaler Ausgangswert"),FALSE)*(1+($B$29*(1-VLOOKUP(D467-1,D:L,$J$1+(_AusgangswertKURZ="Regionaler Ausgangswert"),FALSE)/$B$16)))-VLOOKUP(D467-1,D:L,$J$1+(_AusgangswertKURZ="Regionaler Ausgangswert"),FALSE))),0),4)+0.000001</f>
        <v>9.9999999999999995E-7</v>
      </c>
      <c r="H467" s="64">
        <f>E467/'Erkrankungs- und Strukturdaten'!$C$7</f>
        <v>5592.8319426945091</v>
      </c>
      <c r="I467" s="64">
        <f t="shared" si="51"/>
        <v>678931.58822099993</v>
      </c>
      <c r="J467" s="64">
        <f t="shared" si="47"/>
        <v>2.1000000000000006E-5</v>
      </c>
      <c r="K467" s="101">
        <f>IFERROR(IF(D467=_Datum,Prognoseparameter!$C$14,
IF(_WachstumsrateKURZ="Bundesweit",IF(D467&gt;_Datum,
         K466+AVERAGE(F463:F466)*(1+_WR)*(1-(K466-VLOOKUP('Erkrankungs- und Strukturdaten'!$C$45,$D:$M,$K$1,FALSE))/$B$16),
         K468-$B$23*F468),
IF(D467&gt;_Datum,K466+G467,IF(G468="",K468/(K468^(1/N467)),K468-G468)))),"")</f>
        <v>49545.466450279899</v>
      </c>
      <c r="L467" s="64">
        <f>I467/'Erkrankungs- und Strukturdaten'!$C$7</f>
        <v>1234421.0694927271</v>
      </c>
      <c r="M467" s="65">
        <f t="shared" si="48"/>
        <v>3.9971943157081097E-3</v>
      </c>
      <c r="N467" s="163">
        <v>217</v>
      </c>
      <c r="O467" s="222">
        <f t="shared" si="49"/>
        <v>0</v>
      </c>
    </row>
    <row r="468" spans="4:15" x14ac:dyDescent="0.2">
      <c r="D468" s="86">
        <v>44322</v>
      </c>
      <c r="E468" s="64">
        <f t="shared" si="50"/>
        <v>3059.6287105487741</v>
      </c>
      <c r="F468" s="101">
        <f>ROUND(IF(_Methodik="Gesamtinf",
AVERAGE(F464:F467)*(1+_WR)*(1-(I467-VLOOKUP('Erkrankungs- und Strukturdaten'!$C$45,$D:$M,$I$1,FALSE))/$B$6),
IF(_Methodik="Neuinf",AVERAGE(F458:F464)*(AVERAGE($F461:$F467)/AVERAGE($F454:$F460))^(1/IF(D468-7&gt;_Datum,1,Prognoseparameter!$T$16)),
(I467)*(1+($B$29*(1-(I467)/$B$6)))-(I467))),4)+0.000001</f>
        <v>2693.464101</v>
      </c>
      <c r="G468" s="140">
        <f>ROUND(IFERROR(IF(_Methodik="Gesamtinf",
AVERAGE(G464:G467)*(1+_WR)*(1-(VLOOKUP(D468-1,$D:$M,$J$1+(_AusgangswertKURZ="Regionaler Ausgangswert"),FALSE)-VLOOKUP('Erkrankungs- und Strukturdaten'!$C$45,$D:$M,$J$1+(_AusgangswertKURZ="Regionaler Ausgangswert"),FALSE))/$B$16),
IF(_Methodik="Neuinf",AVERAGE(G458:G464)*(AVERAGE(G461:G467)/AVERAGE(G454:G460))^(1/IF($D468-7&gt;_Datum,1,Prognoseparameter!$T$16)),
VLOOKUP(D468-1,D:L,$J$1+(_AusgangswertKURZ="Regionaler Ausgangswert"),FALSE)*(1+($B$29*(1-VLOOKUP(D468-1,D:L,$J$1+(_AusgangswertKURZ="Regionaler Ausgangswert"),FALSE)/$B$16)))-VLOOKUP(D468-1,D:L,$J$1+(_AusgangswertKURZ="Regionaler Ausgangswert"),FALSE))),0),4)+0.000001</f>
        <v>9.9999999999999995E-7</v>
      </c>
      <c r="H468" s="64">
        <f>E468/'Erkrankungs- und Strukturdaten'!$C$7</f>
        <v>5562.9612919068613</v>
      </c>
      <c r="I468" s="64">
        <f t="shared" si="51"/>
        <v>681625.05232199992</v>
      </c>
      <c r="J468" s="64">
        <f t="shared" si="47"/>
        <v>2.2000000000000006E-5</v>
      </c>
      <c r="K468" s="101">
        <f>IFERROR(IF(D468=_Datum,Prognoseparameter!$C$14,
IF(_WachstumsrateKURZ="Bundesweit",IF(D468&gt;_Datum,
         K467+AVERAGE(F464:F467)*(1+_WR)*(1-(K467-VLOOKUP('Erkrankungs- und Strukturdaten'!$C$45,$D:$M,$K$1,FALSE))/$B$16),
         K469-$B$23*F469),
IF(D468&gt;_Datum,K467+G468,IF(G469="",K469/(K469^(1/N468)),K469-G469)))),"")</f>
        <v>52196.183434833103</v>
      </c>
      <c r="L468" s="64">
        <f>I468/'Erkrankungs- und Strukturdaten'!$C$7</f>
        <v>1239318.2769490907</v>
      </c>
      <c r="M468" s="65">
        <f t="shared" si="48"/>
        <v>3.9672098746468066E-3</v>
      </c>
      <c r="N468" s="163">
        <v>217</v>
      </c>
      <c r="O468" s="222">
        <f t="shared" si="49"/>
        <v>0</v>
      </c>
    </row>
    <row r="469" spans="4:15" x14ac:dyDescent="0.2">
      <c r="D469" s="86">
        <v>44323</v>
      </c>
      <c r="E469" s="64">
        <f t="shared" si="50"/>
        <v>2717.0988541829897</v>
      </c>
      <c r="F469" s="101">
        <f>ROUND(IF(_Methodik="Gesamtinf",
AVERAGE(F465:F468)*(1+_WR)*(1-(I468-VLOOKUP('Erkrankungs- und Strukturdaten'!$C$45,$D:$M,$I$1,FALSE))/$B$6),
IF(_Methodik="Neuinf",AVERAGE(F459:F465)*(AVERAGE($F462:$F468)/AVERAGE($F455:$F461))^(1/IF(D469-7&gt;_Datum,1,Prognoseparameter!$T$16)),
(I468)*(1+($B$29*(1-(I468)/$B$6)))-(I468))),4)+0.000001</f>
        <v>2761.8194009999997</v>
      </c>
      <c r="G469" s="140">
        <f>ROUND(IFERROR(IF(_Methodik="Gesamtinf",
AVERAGE(G465:G468)*(1+_WR)*(1-(VLOOKUP(D469-1,$D:$M,$J$1+(_AusgangswertKURZ="Regionaler Ausgangswert"),FALSE)-VLOOKUP('Erkrankungs- und Strukturdaten'!$C$45,$D:$M,$J$1+(_AusgangswertKURZ="Regionaler Ausgangswert"),FALSE))/$B$16),
IF(_Methodik="Neuinf",AVERAGE(G459:G465)*(AVERAGE(G462:G468)/AVERAGE(G455:G461))^(1/IF($D469-7&gt;_Datum,1,Prognoseparameter!$T$16)),
VLOOKUP(D469-1,D:L,$J$1+(_AusgangswertKURZ="Regionaler Ausgangswert"),FALSE)*(1+($B$29*(1-VLOOKUP(D469-1,D:L,$J$1+(_AusgangswertKURZ="Regionaler Ausgangswert"),FALSE)/$B$16)))-VLOOKUP(D469-1,D:L,$J$1+(_AusgangswertKURZ="Regionaler Ausgangswert"),FALSE))),0),4)+0.000001</f>
        <v>9.9999999999999995E-7</v>
      </c>
      <c r="H469" s="64">
        <f>E469/'Erkrankungs- und Strukturdaten'!$C$7</f>
        <v>4940.1797348781629</v>
      </c>
      <c r="I469" s="64">
        <f t="shared" si="51"/>
        <v>684386.87172299996</v>
      </c>
      <c r="J469" s="64">
        <f t="shared" si="47"/>
        <v>2.3000000000000007E-5</v>
      </c>
      <c r="K469" s="101">
        <f>IFERROR(IF(D469=_Datum,Prognoseparameter!$C$14,
IF(_WachstumsrateKURZ="Bundesweit",IF(D469&gt;_Datum,
         K468+AVERAGE(F465:F468)*(1+_WR)*(1-(K468-VLOOKUP('Erkrankungs- und Strukturdaten'!$C$45,$D:$M,$K$1,FALSE))/$B$16),
         K470-$B$23*F470),
IF(D469&gt;_Datum,K468+G469,IF(G470="",K470/(K470^(1/N469)),K470-G470)))),"")</f>
        <v>54850.346366825281</v>
      </c>
      <c r="L469" s="64">
        <f>I469/'Erkrankungs- und Strukturdaten'!$C$7</f>
        <v>1244339.7667690907</v>
      </c>
      <c r="M469" s="65">
        <f t="shared" si="48"/>
        <v>4.051816158446242E-3</v>
      </c>
      <c r="N469" s="163">
        <v>217</v>
      </c>
      <c r="O469" s="222">
        <f t="shared" si="49"/>
        <v>0</v>
      </c>
    </row>
    <row r="470" spans="4:15" x14ac:dyDescent="0.2">
      <c r="D470" s="86">
        <v>44324</v>
      </c>
      <c r="E470" s="64">
        <f t="shared" si="50"/>
        <v>2070.6559187606313</v>
      </c>
      <c r="F470" s="101">
        <f>ROUND(IF(_Methodik="Gesamtinf",
AVERAGE(F466:F469)*(1+_WR)*(1-(I469-VLOOKUP('Erkrankungs- und Strukturdaten'!$C$45,$D:$M,$I$1,FALSE))/$B$6),
IF(_Methodik="Neuinf",AVERAGE(F460:F466)*(AVERAGE($F463:$F469)/AVERAGE($F456:$F462))^(1/IF(D470-7&gt;_Datum,1,Prognoseparameter!$T$16)),
(I469)*(1+($B$29*(1-(I469)/$B$6)))-(I469))),4)+0.000001</f>
        <v>2833.2537010000001</v>
      </c>
      <c r="G470" s="140">
        <f>ROUND(IFERROR(IF(_Methodik="Gesamtinf",
AVERAGE(G466:G469)*(1+_WR)*(1-(VLOOKUP(D470-1,$D:$M,$J$1+(_AusgangswertKURZ="Regionaler Ausgangswert"),FALSE)-VLOOKUP('Erkrankungs- und Strukturdaten'!$C$45,$D:$M,$J$1+(_AusgangswertKURZ="Regionaler Ausgangswert"),FALSE))/$B$16),
IF(_Methodik="Neuinf",AVERAGE(G460:G466)*(AVERAGE(G463:G469)/AVERAGE(G456:G462))^(1/IF($D470-7&gt;_Datum,1,Prognoseparameter!$T$16)),
VLOOKUP(D470-1,D:L,$J$1+(_AusgangswertKURZ="Regionaler Ausgangswert"),FALSE)*(1+($B$29*(1-VLOOKUP(D470-1,D:L,$J$1+(_AusgangswertKURZ="Regionaler Ausgangswert"),FALSE)/$B$16)))-VLOOKUP(D470-1,D:L,$J$1+(_AusgangswertKURZ="Regionaler Ausgangswert"),FALSE))),0),4)+0.000001</f>
        <v>9.9999999999999995E-7</v>
      </c>
      <c r="H470" s="64">
        <f>E470/'Erkrankungs- und Strukturdaten'!$C$7</f>
        <v>3764.8289432011475</v>
      </c>
      <c r="I470" s="64">
        <f t="shared" si="51"/>
        <v>687220.12542399997</v>
      </c>
      <c r="J470" s="64">
        <f t="shared" si="47"/>
        <v>2.4000000000000007E-5</v>
      </c>
      <c r="K470" s="101">
        <f>IFERROR(IF(D470=_Datum,Prognoseparameter!$C$14,
IF(_WachstumsrateKURZ="Bundesweit",IF(D470&gt;_Datum,
         K469+AVERAGE(F466:F469)*(1+_WR)*(1-(K469-VLOOKUP('Erkrankungs- und Strukturdaten'!$C$45,$D:$M,$K$1,FALSE))/$B$16),
         K471-$B$23*F471),
IF(D470&gt;_Datum,K469+G470,IF(G471="",K471/(K471^(1/N470)),K471-G471)))),"")</f>
        <v>57527.818232503734</v>
      </c>
      <c r="L470" s="64">
        <f>I470/'Erkrankungs- und Strukturdaten'!$C$7</f>
        <v>1249491.1371345452</v>
      </c>
      <c r="M470" s="65">
        <f t="shared" si="48"/>
        <v>4.1398422705962497E-3</v>
      </c>
      <c r="N470" s="163">
        <v>217</v>
      </c>
      <c r="O470" s="222">
        <f t="shared" si="49"/>
        <v>0</v>
      </c>
    </row>
    <row r="471" spans="4:15" x14ac:dyDescent="0.2">
      <c r="D471" s="86">
        <v>44325</v>
      </c>
      <c r="E471" s="64">
        <f t="shared" si="50"/>
        <v>1566.5139183745873</v>
      </c>
      <c r="F471" s="101">
        <f>ROUND(IF(_Methodik="Gesamtinf",
AVERAGE(F467:F470)*(1+_WR)*(1-(I470-VLOOKUP('Erkrankungs- und Strukturdaten'!$C$45,$D:$M,$I$1,FALSE))/$B$6),
IF(_Methodik="Neuinf",AVERAGE(F461:F467)*(AVERAGE($F464:$F470)/AVERAGE($F457:$F463))^(1/IF(D471-7&gt;_Datum,1,Prognoseparameter!$T$16)),
(I470)*(1+($B$29*(1-(I470)/$B$6)))-(I470))),4)+0.000001</f>
        <v>2862.7724009999997</v>
      </c>
      <c r="G471" s="140">
        <f>ROUND(IFERROR(IF(_Methodik="Gesamtinf",
AVERAGE(G467:G470)*(1+_WR)*(1-(VLOOKUP(D471-1,$D:$M,$J$1+(_AusgangswertKURZ="Regionaler Ausgangswert"),FALSE)-VLOOKUP('Erkrankungs- und Strukturdaten'!$C$45,$D:$M,$J$1+(_AusgangswertKURZ="Regionaler Ausgangswert"),FALSE))/$B$16),
IF(_Methodik="Neuinf",AVERAGE(G461:G467)*(AVERAGE(G464:G470)/AVERAGE(G457:G463))^(1/IF($D471-7&gt;_Datum,1,Prognoseparameter!$T$16)),
VLOOKUP(D471-1,D:L,$J$1+(_AusgangswertKURZ="Regionaler Ausgangswert"),FALSE)*(1+($B$29*(1-VLOOKUP(D471-1,D:L,$J$1+(_AusgangswertKURZ="Regionaler Ausgangswert"),FALSE)/$B$16)))-VLOOKUP(D471-1,D:L,$J$1+(_AusgangswertKURZ="Regionaler Ausgangswert"),FALSE))),0),4)+0.000001</f>
        <v>9.9999999999999995E-7</v>
      </c>
      <c r="H471" s="64">
        <f>E471/'Erkrankungs- und Strukturdaten'!$C$7</f>
        <v>2848.2071243174314</v>
      </c>
      <c r="I471" s="64">
        <f t="shared" si="51"/>
        <v>690082.89782499999</v>
      </c>
      <c r="J471" s="64">
        <f t="shared" ref="J471:J522" si="52">J470+G471</f>
        <v>2.5000000000000008E-5</v>
      </c>
      <c r="K471" s="101">
        <f>IFERROR(IF(D471=_Datum,Prognoseparameter!$C$14,
IF(_WachstumsrateKURZ="Bundesweit",IF(D471&gt;_Datum,
         K470+AVERAGE(F467:F470)*(1+_WR)*(1-(K470-VLOOKUP('Erkrankungs- und Strukturdaten'!$C$45,$D:$M,$K$1,FALSE))/$B$16),
         K472-$B$23*F472),
IF(D471&gt;_Datum,K470+G471,IF(G472="",K472/(K472^(1/N471)),K472-G472)))),"")</f>
        <v>60236.46679154272</v>
      </c>
      <c r="L471" s="64">
        <f>I471/'Erkrankungs- und Strukturdaten'!$C$7</f>
        <v>1254696.1778636363</v>
      </c>
      <c r="M471" s="65">
        <f t="shared" ref="M471:M522" si="53">IFERROR((I471-I470)/I470,0)</f>
        <v>4.1657284108694501E-3</v>
      </c>
      <c r="N471" s="163">
        <v>217</v>
      </c>
      <c r="O471" s="222">
        <f t="shared" ref="O471:O522" si="54">IF(F471=ROUNDDOWN(F471,0),1,0)</f>
        <v>0</v>
      </c>
    </row>
    <row r="472" spans="4:15" x14ac:dyDescent="0.2">
      <c r="D472" s="86">
        <v>44326</v>
      </c>
      <c r="E472" s="64">
        <f t="shared" si="50"/>
        <v>3492.0309497171243</v>
      </c>
      <c r="F472" s="101">
        <f>ROUND(IF(_Methodik="Gesamtinf",
AVERAGE(F468:F471)*(1+_WR)*(1-(I471-VLOOKUP('Erkrankungs- und Strukturdaten'!$C$45,$D:$M,$I$1,FALSE))/$B$6),
IF(_Methodik="Neuinf",AVERAGE(F462:F468)*(AVERAGE($F465:$F471)/AVERAGE($F458:$F464))^(1/IF(D472-7&gt;_Datum,1,Prognoseparameter!$T$16)),
(I471)*(1+($B$29*(1-(I471)/$B$6)))-(I471))),4)+0.000001</f>
        <v>2879.8715010000001</v>
      </c>
      <c r="G472" s="140">
        <f>ROUND(IFERROR(IF(_Methodik="Gesamtinf",
AVERAGE(G468:G471)*(1+_WR)*(1-(VLOOKUP(D472-1,$D:$M,$J$1+(_AusgangswertKURZ="Regionaler Ausgangswert"),FALSE)-VLOOKUP('Erkrankungs- und Strukturdaten'!$C$45,$D:$M,$J$1+(_AusgangswertKURZ="Regionaler Ausgangswert"),FALSE))/$B$16),
IF(_Methodik="Neuinf",AVERAGE(G462:G468)*(AVERAGE(G465:G471)/AVERAGE(G458:G464))^(1/IF($D472-7&gt;_Datum,1,Prognoseparameter!$T$16)),
VLOOKUP(D472-1,D:L,$J$1+(_AusgangswertKURZ="Regionaler Ausgangswert"),FALSE)*(1+($B$29*(1-VLOOKUP(D472-1,D:L,$J$1+(_AusgangswertKURZ="Regionaler Ausgangswert"),FALSE)/$B$16)))-VLOOKUP(D472-1,D:L,$J$1+(_AusgangswertKURZ="Regionaler Ausgangswert"),FALSE))),0),4)+0.000001</f>
        <v>9.9999999999999995E-7</v>
      </c>
      <c r="H472" s="64">
        <f>E472/'Erkrankungs- und Strukturdaten'!$C$7</f>
        <v>6349.1471813038615</v>
      </c>
      <c r="I472" s="64">
        <f t="shared" si="51"/>
        <v>692962.76932600001</v>
      </c>
      <c r="J472" s="64">
        <f t="shared" si="52"/>
        <v>2.6000000000000009E-5</v>
      </c>
      <c r="K472" s="101">
        <f>IFERROR(IF(D472=_Datum,Prognoseparameter!$C$14,
IF(_WachstumsrateKURZ="Bundesweit",IF(D472&gt;_Datum,
         K471+AVERAGE(F468:F471)*(1+_WR)*(1-(K471-VLOOKUP('Erkrankungs- und Strukturdaten'!$C$45,$D:$M,$K$1,FALSE))/$B$16),
         K473-$B$23*F473),
IF(D472&gt;_Datum,K471+G472,IF(G473="",K473/(K473^(1/N472)),K473-G473)))),"")</f>
        <v>62982.180917669226</v>
      </c>
      <c r="L472" s="64">
        <f>I472/'Erkrankungs- und Strukturdaten'!$C$7</f>
        <v>1259932.3078654543</v>
      </c>
      <c r="M472" s="65">
        <f t="shared" si="53"/>
        <v>4.1732254343308335E-3</v>
      </c>
      <c r="N472" s="163">
        <v>217</v>
      </c>
      <c r="O472" s="222">
        <f t="shared" si="54"/>
        <v>0</v>
      </c>
    </row>
    <row r="473" spans="4:15" x14ac:dyDescent="0.2">
      <c r="D473" s="86">
        <v>44327</v>
      </c>
      <c r="E473" s="64">
        <f t="shared" si="50"/>
        <v>3629.2215840098456</v>
      </c>
      <c r="F473" s="101">
        <f>ROUND(IF(_Methodik="Gesamtinf",
AVERAGE(F469:F472)*(1+_WR)*(1-(I472-VLOOKUP('Erkrankungs- und Strukturdaten'!$C$45,$D:$M,$I$1,FALSE))/$B$6),
IF(_Methodik="Neuinf",AVERAGE(F463:F469)*(AVERAGE($F466:$F472)/AVERAGE($F459:$F465))^(1/IF(D473-7&gt;_Datum,1,Prognoseparameter!$T$16)),
(I472)*(1+($B$29*(1-(I472)/$B$6)))-(I472))),4)+0.000001</f>
        <v>2899.593801</v>
      </c>
      <c r="G473" s="140">
        <f>ROUND(IFERROR(IF(_Methodik="Gesamtinf",
AVERAGE(G469:G472)*(1+_WR)*(1-(VLOOKUP(D473-1,$D:$M,$J$1+(_AusgangswertKURZ="Regionaler Ausgangswert"),FALSE)-VLOOKUP('Erkrankungs- und Strukturdaten'!$C$45,$D:$M,$J$1+(_AusgangswertKURZ="Regionaler Ausgangswert"),FALSE))/$B$16),
IF(_Methodik="Neuinf",AVERAGE(G463:G469)*(AVERAGE(G466:G472)/AVERAGE(G459:G465))^(1/IF($D473-7&gt;_Datum,1,Prognoseparameter!$T$16)),
VLOOKUP(D473-1,D:L,$J$1+(_AusgangswertKURZ="Regionaler Ausgangswert"),FALSE)*(1+($B$29*(1-VLOOKUP(D473-1,D:L,$J$1+(_AusgangswertKURZ="Regionaler Ausgangswert"),FALSE)/$B$16)))-VLOOKUP(D473-1,D:L,$J$1+(_AusgangswertKURZ="Regionaler Ausgangswert"),FALSE))),0),4)+0.000001</f>
        <v>9.9999999999999995E-7</v>
      </c>
      <c r="H473" s="64">
        <f>E473/'Erkrankungs- und Strukturdaten'!$C$7</f>
        <v>6598.5846981997192</v>
      </c>
      <c r="I473" s="64">
        <f t="shared" si="51"/>
        <v>695862.36312700005</v>
      </c>
      <c r="J473" s="64">
        <f t="shared" si="52"/>
        <v>2.7000000000000009E-5</v>
      </c>
      <c r="K473" s="101">
        <f>IFERROR(IF(D473=_Datum,Prognoseparameter!$C$14,
IF(_WachstumsrateKURZ="Bundesweit",IF(D473&gt;_Datum,
         K472+AVERAGE(F469:F472)*(1+_WR)*(1-(K472-VLOOKUP('Erkrankungs- und Strukturdaten'!$C$45,$D:$M,$K$1,FALSE))/$B$16),
         K474-$B$23*F474),
IF(D473&gt;_Datum,K472+G473,IF(G474="",K474/(K474^(1/N473)),K474-G474)))),"")</f>
        <v>65771.419428890542</v>
      </c>
      <c r="L473" s="64">
        <f>I473/'Erkrankungs- und Strukturdaten'!$C$7</f>
        <v>1265204.2965945455</v>
      </c>
      <c r="M473" s="65">
        <f t="shared" si="53"/>
        <v>4.1843428382455326E-3</v>
      </c>
      <c r="N473" s="163">
        <v>217</v>
      </c>
      <c r="O473" s="222">
        <f t="shared" si="54"/>
        <v>0</v>
      </c>
    </row>
    <row r="474" spans="4:15" x14ac:dyDescent="0.2">
      <c r="D474" s="86">
        <v>44328</v>
      </c>
      <c r="E474" s="64">
        <f t="shared" si="50"/>
        <v>3324.7194682835047</v>
      </c>
      <c r="F474" s="101">
        <f>ROUND(IF(_Methodik="Gesamtinf",
AVERAGE(F470:F473)*(1+_WR)*(1-(I473-VLOOKUP('Erkrankungs- und Strukturdaten'!$C$45,$D:$M,$I$1,FALSE))/$B$6),
IF(_Methodik="Neuinf",AVERAGE(F464:F470)*(AVERAGE($F467:$F473)/AVERAGE($F460:$F466))^(1/IF(D474-7&gt;_Datum,1,Prognoseparameter!$T$16)),
(I473)*(1+($B$29*(1-(I473)/$B$6)))-(I473))),4)+0.000001</f>
        <v>2921.5231009999998</v>
      </c>
      <c r="G474" s="140">
        <f>ROUND(IFERROR(IF(_Methodik="Gesamtinf",
AVERAGE(G470:G473)*(1+_WR)*(1-(VLOOKUP(D474-1,$D:$M,$J$1+(_AusgangswertKURZ="Regionaler Ausgangswert"),FALSE)-VLOOKUP('Erkrankungs- und Strukturdaten'!$C$45,$D:$M,$J$1+(_AusgangswertKURZ="Regionaler Ausgangswert"),FALSE))/$B$16),
IF(_Methodik="Neuinf",AVERAGE(G464:G470)*(AVERAGE(G467:G473)/AVERAGE(G460:G466))^(1/IF($D474-7&gt;_Datum,1,Prognoseparameter!$T$16)),
VLOOKUP(D474-1,D:L,$J$1+(_AusgangswertKURZ="Regionaler Ausgangswert"),FALSE)*(1+($B$29*(1-VLOOKUP(D474-1,D:L,$J$1+(_AusgangswertKURZ="Regionaler Ausgangswert"),FALSE)/$B$16)))-VLOOKUP(D474-1,D:L,$J$1+(_AusgangswertKURZ="Regionaler Ausgangswert"),FALSE))),0),4)+0.000001</f>
        <v>9.9999999999999995E-7</v>
      </c>
      <c r="H474" s="64">
        <f>E474/'Erkrankungs- und Strukturdaten'!$C$7</f>
        <v>6044.9444877881897</v>
      </c>
      <c r="I474" s="64">
        <f t="shared" si="51"/>
        <v>698783.88622800005</v>
      </c>
      <c r="J474" s="64">
        <f t="shared" si="52"/>
        <v>2.800000000000001E-5</v>
      </c>
      <c r="K474" s="101">
        <f>IFERROR(IF(D474=_Datum,Prognoseparameter!$C$14,
IF(_WachstumsrateKURZ="Bundesweit",IF(D474&gt;_Datum,
         K473+AVERAGE(F470:F473)*(1+_WR)*(1-(K473-VLOOKUP('Erkrankungs- und Strukturdaten'!$C$45,$D:$M,$K$1,FALSE))/$B$16),
         K475-$B$23*F475),
IF(D474&gt;_Datum,K473+G474,IF(G475="",K475/(K475^(1/N474)),K475-G475)))),"")</f>
        <v>68592.111973378924</v>
      </c>
      <c r="L474" s="64">
        <f>I474/'Erkrankungs- und Strukturdaten'!$C$7</f>
        <v>1270516.1567781819</v>
      </c>
      <c r="M474" s="65">
        <f t="shared" si="53"/>
        <v>4.1984209174232914E-3</v>
      </c>
      <c r="N474" s="163">
        <v>217</v>
      </c>
      <c r="O474" s="222">
        <f t="shared" si="54"/>
        <v>0</v>
      </c>
    </row>
    <row r="475" spans="4:15" x14ac:dyDescent="0.2">
      <c r="D475" s="86">
        <v>44329</v>
      </c>
      <c r="E475" s="64">
        <f t="shared" si="50"/>
        <v>3361.6184867789261</v>
      </c>
      <c r="F475" s="101">
        <f>ROUND(IF(_Methodik="Gesamtinf",
AVERAGE(F471:F474)*(1+_WR)*(1-(I474-VLOOKUP('Erkrankungs- und Strukturdaten'!$C$45,$D:$M,$I$1,FALSE))/$B$6),
IF(_Methodik="Neuinf",AVERAGE(F465:F471)*(AVERAGE($F468:$F474)/AVERAGE($F461:$F467))^(1/IF(D475-7&gt;_Datum,1,Prognoseparameter!$T$16)),
(I474)*(1+($B$29*(1-(I474)/$B$6)))-(I474))),4)+0.000001</f>
        <v>2959.3129009999998</v>
      </c>
      <c r="G475" s="140">
        <f>ROUND(IFERROR(IF(_Methodik="Gesamtinf",
AVERAGE(G471:G474)*(1+_WR)*(1-(VLOOKUP(D475-1,$D:$M,$J$1+(_AusgangswertKURZ="Regionaler Ausgangswert"),FALSE)-VLOOKUP('Erkrankungs- und Strukturdaten'!$C$45,$D:$M,$J$1+(_AusgangswertKURZ="Regionaler Ausgangswert"),FALSE))/$B$16),
IF(_Methodik="Neuinf",AVERAGE(G465:G471)*(AVERAGE(G468:G474)/AVERAGE(G461:G467))^(1/IF($D475-7&gt;_Datum,1,Prognoseparameter!$T$16)),
VLOOKUP(D475-1,D:L,$J$1+(_AusgangswertKURZ="Regionaler Ausgangswert"),FALSE)*(1+($B$29*(1-VLOOKUP(D475-1,D:L,$J$1+(_AusgangswertKURZ="Regionaler Ausgangswert"),FALSE)/$B$16)))-VLOOKUP(D475-1,D:L,$J$1+(_AusgangswertKURZ="Regionaler Ausgangswert"),FALSE))),0),4)+0.000001</f>
        <v>9.9999999999999995E-7</v>
      </c>
      <c r="H475" s="64">
        <f>E475/'Erkrankungs- und Strukturdaten'!$C$7</f>
        <v>6112.0336123253201</v>
      </c>
      <c r="I475" s="64">
        <f t="shared" si="51"/>
        <v>701743.19912900007</v>
      </c>
      <c r="J475" s="64">
        <f t="shared" si="52"/>
        <v>2.900000000000001E-5</v>
      </c>
      <c r="K475" s="101">
        <f>IFERROR(IF(D475=_Datum,Prognoseparameter!$C$14,
IF(_WachstumsrateKURZ="Bundesweit",IF(D475&gt;_Datum,
         K474+AVERAGE(F471:F474)*(1+_WR)*(1-(K474-VLOOKUP('Erkrankungs- und Strukturdaten'!$C$45,$D:$M,$K$1,FALSE))/$B$16),
         K476-$B$23*F476),
IF(D475&gt;_Datum,K474+G475,IF(G476="",K476/(K476^(1/N475)),K476-G476)))),"")</f>
        <v>71432.014346577183</v>
      </c>
      <c r="L475" s="64">
        <f>I475/'Erkrankungs- und Strukturdaten'!$C$7</f>
        <v>1275896.725689091</v>
      </c>
      <c r="M475" s="65">
        <f t="shared" si="53"/>
        <v>4.2349472552583424E-3</v>
      </c>
      <c r="N475" s="163">
        <v>217</v>
      </c>
      <c r="O475" s="222">
        <f t="shared" si="54"/>
        <v>0</v>
      </c>
    </row>
    <row r="476" spans="4:15" x14ac:dyDescent="0.2">
      <c r="D476" s="86">
        <v>44330</v>
      </c>
      <c r="E476" s="64">
        <f t="shared" si="50"/>
        <v>2960.2286965033795</v>
      </c>
      <c r="F476" s="101">
        <f>ROUND(IF(_Methodik="Gesamtinf",
AVERAGE(F472:F475)*(1+_WR)*(1-(I475-VLOOKUP('Erkrankungs- und Strukturdaten'!$C$45,$D:$M,$I$1,FALSE))/$B$6),
IF(_Methodik="Neuinf",AVERAGE(F466:F472)*(AVERAGE($F469:$F475)/AVERAGE($F462:$F468))^(1/IF(D476-7&gt;_Datum,1,Prognoseparameter!$T$16)),
(I475)*(1+($B$29*(1-(I475)/$B$6)))-(I475))),4)+0.000001</f>
        <v>3008.9509009999997</v>
      </c>
      <c r="G476" s="140">
        <f>ROUND(IFERROR(IF(_Methodik="Gesamtinf",
AVERAGE(G472:G475)*(1+_WR)*(1-(VLOOKUP(D476-1,$D:$M,$J$1+(_AusgangswertKURZ="Regionaler Ausgangswert"),FALSE)-VLOOKUP('Erkrankungs- und Strukturdaten'!$C$45,$D:$M,$J$1+(_AusgangswertKURZ="Regionaler Ausgangswert"),FALSE))/$B$16),
IF(_Methodik="Neuinf",AVERAGE(G466:G472)*(AVERAGE(G469:G475)/AVERAGE(G462:G468))^(1/IF($D476-7&gt;_Datum,1,Prognoseparameter!$T$16)),
VLOOKUP(D476-1,D:L,$J$1+(_AusgangswertKURZ="Regionaler Ausgangswert"),FALSE)*(1+($B$29*(1-VLOOKUP(D476-1,D:L,$J$1+(_AusgangswertKURZ="Regionaler Ausgangswert"),FALSE)/$B$16)))-VLOOKUP(D476-1,D:L,$J$1+(_AusgangswertKURZ="Regionaler Ausgangswert"),FALSE))),0),4)+0.000001</f>
        <v>9.9999999999999995E-7</v>
      </c>
      <c r="H476" s="64">
        <f>E476/'Erkrankungs- und Strukturdaten'!$C$7</f>
        <v>5382.2339936425078</v>
      </c>
      <c r="I476" s="64">
        <f t="shared" si="51"/>
        <v>704752.15003000002</v>
      </c>
      <c r="J476" s="64">
        <f t="shared" si="52"/>
        <v>3.0000000000000011E-5</v>
      </c>
      <c r="K476" s="101">
        <f>IFERROR(IF(D476=_Datum,Prognoseparameter!$C$14,
IF(_WachstumsrateKURZ="Bundesweit",IF(D476&gt;_Datum,
         K475+AVERAGE(F472:F475)*(1+_WR)*(1-(K475-VLOOKUP('Erkrankungs- und Strukturdaten'!$C$45,$D:$M,$K$1,FALSE))/$B$16),
         K477-$B$23*F477),
IF(D476&gt;_Datum,K475+G476,IF(G477="",K477/(K477^(1/N476)),K477-G477)))),"")</f>
        <v>74293.100994553446</v>
      </c>
      <c r="L476" s="64">
        <f>I476/'Erkrankungs- und Strukturdaten'!$C$7</f>
        <v>1281367.5455090909</v>
      </c>
      <c r="M476" s="65">
        <f t="shared" si="53"/>
        <v>4.2878233871516524E-3</v>
      </c>
      <c r="N476" s="163">
        <v>217</v>
      </c>
      <c r="O476" s="222">
        <f t="shared" si="54"/>
        <v>0</v>
      </c>
    </row>
    <row r="477" spans="4:15" x14ac:dyDescent="0.2">
      <c r="D477" s="86">
        <v>44331</v>
      </c>
      <c r="E477" s="64">
        <f t="shared" si="50"/>
        <v>2221.8482817479758</v>
      </c>
      <c r="F477" s="101">
        <f>ROUND(IF(_Methodik="Gesamtinf",
AVERAGE(F473:F476)*(1+_WR)*(1-(I476-VLOOKUP('Erkrankungs- und Strukturdaten'!$C$45,$D:$M,$I$1,FALSE))/$B$6),
IF(_Methodik="Neuinf",AVERAGE(F467:F473)*(AVERAGE($F470:$F476)/AVERAGE($F463:$F469))^(1/IF(D477-7&gt;_Datum,1,Prognoseparameter!$T$16)),
(I476)*(1+($B$29*(1-(I476)/$B$6)))-(I476))),4)+0.000001</f>
        <v>3040.1284009999999</v>
      </c>
      <c r="G477" s="140">
        <f>ROUND(IFERROR(IF(_Methodik="Gesamtinf",
AVERAGE(G473:G476)*(1+_WR)*(1-(VLOOKUP(D477-1,$D:$M,$J$1+(_AusgangswertKURZ="Regionaler Ausgangswert"),FALSE)-VLOOKUP('Erkrankungs- und Strukturdaten'!$C$45,$D:$M,$J$1+(_AusgangswertKURZ="Regionaler Ausgangswert"),FALSE))/$B$16),
IF(_Methodik="Neuinf",AVERAGE(G467:G473)*(AVERAGE(G470:G476)/AVERAGE(G463:G469))^(1/IF($D477-7&gt;_Datum,1,Prognoseparameter!$T$16)),
VLOOKUP(D477-1,D:L,$J$1+(_AusgangswertKURZ="Regionaler Ausgangswert"),FALSE)*(1+($B$29*(1-VLOOKUP(D477-1,D:L,$J$1+(_AusgangswertKURZ="Regionaler Ausgangswert"),FALSE)/$B$16)))-VLOOKUP(D477-1,D:L,$J$1+(_AusgangswertKURZ="Regionaler Ausgangswert"),FALSE))),0),4)+0.000001</f>
        <v>9.9999999999999995E-7</v>
      </c>
      <c r="H477" s="64">
        <f>E477/'Erkrankungs- und Strukturdaten'!$C$7</f>
        <v>4039.724148632683</v>
      </c>
      <c r="I477" s="64">
        <f t="shared" si="51"/>
        <v>707792.27843100007</v>
      </c>
      <c r="J477" s="64">
        <f t="shared" si="52"/>
        <v>3.1000000000000008E-5</v>
      </c>
      <c r="K477" s="101">
        <f>IFERROR(IF(D477=_Datum,Prognoseparameter!$C$14,
IF(_WachstumsrateKURZ="Bundesweit",IF(D477&gt;_Datum,
         K476+AVERAGE(F473:F476)*(1+_WR)*(1-(K476-VLOOKUP('Erkrankungs- und Strukturdaten'!$C$45,$D:$M,$K$1,FALSE))/$B$16),
         K478-$B$23*F478),
IF(D477&gt;_Datum,K476+G477,IF(G478="",K478/(K478^(1/N477)),K478-G478)))),"")</f>
        <v>77183.288088530884</v>
      </c>
      <c r="L477" s="64">
        <f>I477/'Erkrankungs- und Strukturdaten'!$C$7</f>
        <v>1286895.0516927273</v>
      </c>
      <c r="M477" s="65">
        <f t="shared" si="53"/>
        <v>4.3137554115594253E-3</v>
      </c>
      <c r="N477" s="163">
        <v>217</v>
      </c>
      <c r="O477" s="222">
        <f t="shared" si="54"/>
        <v>0</v>
      </c>
    </row>
    <row r="478" spans="4:15" x14ac:dyDescent="0.2">
      <c r="D478" s="86">
        <v>44332</v>
      </c>
      <c r="E478" s="64">
        <f t="shared" si="50"/>
        <v>1678.6628516280066</v>
      </c>
      <c r="F478" s="101">
        <f>ROUND(IF(_Methodik="Gesamtinf",
AVERAGE(F474:F477)*(1+_WR)*(1-(I477-VLOOKUP('Erkrankungs- und Strukturdaten'!$C$45,$D:$M,$I$1,FALSE))/$B$6),
IF(_Methodik="Neuinf",AVERAGE(F468:F474)*(AVERAGE($F471:$F477)/AVERAGE($F464:$F470))^(1/IF(D478-7&gt;_Datum,1,Prognoseparameter!$T$16)),
(I477)*(1+($B$29*(1-(I477)/$B$6)))-(I477))),4)+0.000001</f>
        <v>3067.7223009999998</v>
      </c>
      <c r="G478" s="140">
        <f>ROUND(IFERROR(IF(_Methodik="Gesamtinf",
AVERAGE(G474:G477)*(1+_WR)*(1-(VLOOKUP(D478-1,$D:$M,$J$1+(_AusgangswertKURZ="Regionaler Ausgangswert"),FALSE)-VLOOKUP('Erkrankungs- und Strukturdaten'!$C$45,$D:$M,$J$1+(_AusgangswertKURZ="Regionaler Ausgangswert"),FALSE))/$B$16),
IF(_Methodik="Neuinf",AVERAGE(G468:G474)*(AVERAGE(G471:G477)/AVERAGE(G464:G470))^(1/IF($D478-7&gt;_Datum,1,Prognoseparameter!$T$16)),
VLOOKUP(D478-1,D:L,$J$1+(_AusgangswertKURZ="Regionaler Ausgangswert"),FALSE)*(1+($B$29*(1-VLOOKUP(D478-1,D:L,$J$1+(_AusgangswertKURZ="Regionaler Ausgangswert"),FALSE)/$B$16)))-VLOOKUP(D478-1,D:L,$J$1+(_AusgangswertKURZ="Regionaler Ausgangswert"),FALSE))),0),4)+0.000001</f>
        <v>9.9999999999999995E-7</v>
      </c>
      <c r="H478" s="64">
        <f>E478/'Erkrankungs- und Strukturdaten'!$C$7</f>
        <v>3052.1142756872846</v>
      </c>
      <c r="I478" s="64">
        <f t="shared" si="51"/>
        <v>710860.0007320001</v>
      </c>
      <c r="J478" s="64">
        <f t="shared" si="52"/>
        <v>3.2000000000000005E-5</v>
      </c>
      <c r="K478" s="101">
        <f>IFERROR(IF(D478=_Datum,Prognoseparameter!$C$14,
IF(_WachstumsrateKURZ="Bundesweit",IF(D478&gt;_Datum,
         K477+AVERAGE(F474:F477)*(1+_WR)*(1-(K477-VLOOKUP('Erkrankungs- und Strukturdaten'!$C$45,$D:$M,$K$1,FALSE))/$B$16),
         K479-$B$23*F479),
IF(D478&gt;_Datum,K477+G478,IF(G479="",K479/(K479^(1/N478)),K479-G479)))),"")</f>
        <v>80105.298607318196</v>
      </c>
      <c r="L478" s="64">
        <f>I478/'Erkrankungs- und Strukturdaten'!$C$7</f>
        <v>1292472.7286036364</v>
      </c>
      <c r="M478" s="65">
        <f t="shared" si="53"/>
        <v>4.3342127266497036E-3</v>
      </c>
      <c r="N478" s="163">
        <v>217</v>
      </c>
      <c r="O478" s="222">
        <f t="shared" si="54"/>
        <v>0</v>
      </c>
    </row>
    <row r="479" spans="4:15" x14ac:dyDescent="0.2">
      <c r="D479" s="86">
        <v>44333</v>
      </c>
      <c r="E479" s="64">
        <f t="shared" si="50"/>
        <v>3769.1187509472766</v>
      </c>
      <c r="F479" s="101">
        <f>ROUND(IF(_Methodik="Gesamtinf",
AVERAGE(F475:F478)*(1+_WR)*(1-(I478-VLOOKUP('Erkrankungs- und Strukturdaten'!$C$45,$D:$M,$I$1,FALSE))/$B$6),
IF(_Methodik="Neuinf",AVERAGE(F469:F475)*(AVERAGE($F472:$F478)/AVERAGE($F465:$F471))^(1/IF(D479-7&gt;_Datum,1,Prognoseparameter!$T$16)),
(I478)*(1+($B$29*(1-(I478)/$B$6)))-(I478))),4)+0.000001</f>
        <v>3108.3853009999998</v>
      </c>
      <c r="G479" s="140">
        <f>ROUND(IFERROR(IF(_Methodik="Gesamtinf",
AVERAGE(G475:G478)*(1+_WR)*(1-(VLOOKUP(D479-1,$D:$M,$J$1+(_AusgangswertKURZ="Regionaler Ausgangswert"),FALSE)-VLOOKUP('Erkrankungs- und Strukturdaten'!$C$45,$D:$M,$J$1+(_AusgangswertKURZ="Regionaler Ausgangswert"),FALSE))/$B$16),
IF(_Methodik="Neuinf",AVERAGE(G469:G475)*(AVERAGE(G472:G478)/AVERAGE(G465:G471))^(1/IF($D479-7&gt;_Datum,1,Prognoseparameter!$T$16)),
VLOOKUP(D479-1,D:L,$J$1+(_AusgangswertKURZ="Regionaler Ausgangswert"),FALSE)*(1+($B$29*(1-VLOOKUP(D479-1,D:L,$J$1+(_AusgangswertKURZ="Regionaler Ausgangswert"),FALSE)/$B$16)))-VLOOKUP(D479-1,D:L,$J$1+(_AusgangswertKURZ="Regionaler Ausgangswert"),FALSE))),0),4)+0.000001</f>
        <v>9.9999999999999995E-7</v>
      </c>
      <c r="H479" s="64">
        <f>E479/'Erkrankungs- und Strukturdaten'!$C$7</f>
        <v>6852.9431835405021</v>
      </c>
      <c r="I479" s="64">
        <f t="shared" si="51"/>
        <v>713968.38603300008</v>
      </c>
      <c r="J479" s="64">
        <f t="shared" si="52"/>
        <v>3.3000000000000003E-5</v>
      </c>
      <c r="K479" s="101">
        <f>IFERROR(IF(D479=_Datum,Prognoseparameter!$C$14,
IF(_WachstumsrateKURZ="Bundesweit",IF(D479&gt;_Datum,
         K478+AVERAGE(F475:F478)*(1+_WR)*(1-(K478-VLOOKUP('Erkrankungs- und Strukturdaten'!$C$45,$D:$M,$K$1,FALSE))/$B$16),
         K480-$B$23*F480),
IF(D479&gt;_Datum,K478+G479,IF(G480="",K480/(K480^(1/N479)),K480-G480)))),"")</f>
        <v>83060.42750361831</v>
      </c>
      <c r="L479" s="64">
        <f>I479/'Erkrankungs- und Strukturdaten'!$C$7</f>
        <v>1298124.3382418181</v>
      </c>
      <c r="M479" s="65">
        <f t="shared" si="53"/>
        <v>4.372710938580238E-3</v>
      </c>
      <c r="N479" s="163">
        <v>217</v>
      </c>
      <c r="O479" s="222">
        <f t="shared" si="54"/>
        <v>0</v>
      </c>
    </row>
    <row r="480" spans="4:15" x14ac:dyDescent="0.2">
      <c r="D480" s="86">
        <v>44334</v>
      </c>
      <c r="E480" s="64">
        <f t="shared" si="50"/>
        <v>3936.2963661215417</v>
      </c>
      <c r="F480" s="101">
        <f>ROUND(IF(_Methodik="Gesamtinf",
AVERAGE(F476:F479)*(1+_WR)*(1-(I479-VLOOKUP('Erkrankungs- und Strukturdaten'!$C$45,$D:$M,$I$1,FALSE))/$B$6),
IF(_Methodik="Neuinf",AVERAGE(F470:F476)*(AVERAGE($F473:$F479)/AVERAGE($F466:$F472))^(1/IF(D480-7&gt;_Datum,1,Prognoseparameter!$T$16)),
(I479)*(1+($B$29*(1-(I479)/$B$6)))-(I479))),4)+0.000001</f>
        <v>3144.933501</v>
      </c>
      <c r="G480" s="140">
        <f>ROUND(IFERROR(IF(_Methodik="Gesamtinf",
AVERAGE(G476:G479)*(1+_WR)*(1-(VLOOKUP(D480-1,$D:$M,$J$1+(_AusgangswertKURZ="Regionaler Ausgangswert"),FALSE)-VLOOKUP('Erkrankungs- und Strukturdaten'!$C$45,$D:$M,$J$1+(_AusgangswertKURZ="Regionaler Ausgangswert"),FALSE))/$B$16),
IF(_Methodik="Neuinf",AVERAGE(G470:G476)*(AVERAGE(G473:G479)/AVERAGE(G466:G472))^(1/IF($D480-7&gt;_Datum,1,Prognoseparameter!$T$16)),
VLOOKUP(D480-1,D:L,$J$1+(_AusgangswertKURZ="Regionaler Ausgangswert"),FALSE)*(1+($B$29*(1-VLOOKUP(D480-1,D:L,$J$1+(_AusgangswertKURZ="Regionaler Ausgangswert"),FALSE)/$B$16)))-VLOOKUP(D480-1,D:L,$J$1+(_AusgangswertKURZ="Regionaler Ausgangswert"),FALSE))),0),4)+0.000001</f>
        <v>9.9999999999999995E-7</v>
      </c>
      <c r="H480" s="64">
        <f>E480/'Erkrankungs- und Strukturdaten'!$C$7</f>
        <v>7156.9024838573478</v>
      </c>
      <c r="I480" s="64">
        <f t="shared" si="51"/>
        <v>717113.31953400013</v>
      </c>
      <c r="J480" s="64">
        <f t="shared" si="52"/>
        <v>3.4E-5</v>
      </c>
      <c r="K480" s="101">
        <f>IFERROR(IF(D480=_Datum,Prognoseparameter!$C$14,
IF(_WachstumsrateKURZ="Bundesweit",IF(D480&gt;_Datum,
         K479+AVERAGE(F476:F479)*(1+_WR)*(1-(K479-VLOOKUP('Erkrankungs- und Strukturdaten'!$C$45,$D:$M,$K$1,FALSE))/$B$16),
         K481-$B$23*F481),
IF(D480&gt;_Datum,K479+G480,IF(G481="",K481/(K481^(1/N480)),K481-G481)))),"")</f>
        <v>86049.281222045174</v>
      </c>
      <c r="L480" s="64">
        <f>I480/'Erkrankungs- und Strukturdaten'!$C$7</f>
        <v>1303842.3991527273</v>
      </c>
      <c r="M480" s="65">
        <f t="shared" si="53"/>
        <v>4.4048638042282866E-3</v>
      </c>
      <c r="N480" s="163">
        <v>217</v>
      </c>
      <c r="O480" s="222">
        <f t="shared" si="54"/>
        <v>0</v>
      </c>
    </row>
    <row r="481" spans="4:15" x14ac:dyDescent="0.2">
      <c r="D481" s="86">
        <v>44335</v>
      </c>
      <c r="E481" s="64">
        <f t="shared" si="50"/>
        <v>3619.9425495148366</v>
      </c>
      <c r="F481" s="101">
        <f>ROUND(IF(_Methodik="Gesamtinf",
AVERAGE(F477:F480)*(1+_WR)*(1-(I480-VLOOKUP('Erkrankungs- und Strukturdaten'!$C$45,$D:$M,$I$1,FALSE))/$B$6),
IF(_Methodik="Neuinf",AVERAGE(F471:F477)*(AVERAGE($F474:$F480)/AVERAGE($F467:$F473))^(1/IF(D481-7&gt;_Datum,1,Prognoseparameter!$T$16)),
(I480)*(1+($B$29*(1-(I480)/$B$6)))-(I480))),4)+0.000001</f>
        <v>3180.9438009999999</v>
      </c>
      <c r="G481" s="140">
        <f>ROUND(IFERROR(IF(_Methodik="Gesamtinf",
AVERAGE(G477:G480)*(1+_WR)*(1-(VLOOKUP(D481-1,$D:$M,$J$1+(_AusgangswertKURZ="Regionaler Ausgangswert"),FALSE)-VLOOKUP('Erkrankungs- und Strukturdaten'!$C$45,$D:$M,$J$1+(_AusgangswertKURZ="Regionaler Ausgangswert"),FALSE))/$B$16),
IF(_Methodik="Neuinf",AVERAGE(G471:G477)*(AVERAGE(G474:G480)/AVERAGE(G467:G473))^(1/IF($D481-7&gt;_Datum,1,Prognoseparameter!$T$16)),
VLOOKUP(D481-1,D:L,$J$1+(_AusgangswertKURZ="Regionaler Ausgangswert"),FALSE)*(1+($B$29*(1-VLOOKUP(D481-1,D:L,$J$1+(_AusgangswertKURZ="Regionaler Ausgangswert"),FALSE)/$B$16)))-VLOOKUP(D481-1,D:L,$J$1+(_AusgangswertKURZ="Regionaler Ausgangswert"),FALSE))),0),4)+0.000001</f>
        <v>9.9999999999999995E-7</v>
      </c>
      <c r="H481" s="64">
        <f>E481/'Erkrankungs- und Strukturdaten'!$C$7</f>
        <v>6581.7137263906116</v>
      </c>
      <c r="I481" s="64">
        <f t="shared" si="51"/>
        <v>720294.26333500014</v>
      </c>
      <c r="J481" s="64">
        <f t="shared" si="52"/>
        <v>3.4999999999999997E-5</v>
      </c>
      <c r="K481" s="101">
        <f>IFERROR(IF(D481=_Datum,Prognoseparameter!$C$14,
IF(_WachstumsrateKURZ="Bundesweit",IF(D481&gt;_Datum,
         K480+AVERAGE(F477:F480)*(1+_WR)*(1-(K480-VLOOKUP('Erkrankungs- und Strukturdaten'!$C$45,$D:$M,$K$1,FALSE))/$B$16),
         K482-$B$23*F482),
IF(D481&gt;_Datum,K480+G481,IF(G482="",K482/(K482^(1/N481)),K482-G482)))),"")</f>
        <v>89068.563514755864</v>
      </c>
      <c r="L481" s="64">
        <f>I481/'Erkrankungs- und Strukturdaten'!$C$7</f>
        <v>1309625.9333363639</v>
      </c>
      <c r="M481" s="65">
        <f t="shared" si="53"/>
        <v>4.4357617050915753E-3</v>
      </c>
      <c r="N481" s="163">
        <v>217</v>
      </c>
      <c r="O481" s="222">
        <f t="shared" si="54"/>
        <v>0</v>
      </c>
    </row>
    <row r="482" spans="4:15" x14ac:dyDescent="0.2">
      <c r="D482" s="86">
        <v>44336</v>
      </c>
      <c r="E482" s="64">
        <f t="shared" si="50"/>
        <v>3653.2695676702956</v>
      </c>
      <c r="F482" s="101">
        <f>ROUND(IF(_Methodik="Gesamtinf",
AVERAGE(F478:F481)*(1+_WR)*(1-(I481-VLOOKUP('Erkrankungs- und Strukturdaten'!$C$45,$D:$M,$I$1,FALSE))/$B$6),
IF(_Methodik="Neuinf",AVERAGE(F472:F478)*(AVERAGE($F475:$F481)/AVERAGE($F468:$F474))^(1/IF(D482-7&gt;_Datum,1,Prognoseparameter!$T$16)),
(I481)*(1+($B$29*(1-(I481)/$B$6)))-(I481))),4)+0.000001</f>
        <v>3216.060301</v>
      </c>
      <c r="G482" s="140">
        <f>ROUND(IFERROR(IF(_Methodik="Gesamtinf",
AVERAGE(G478:G481)*(1+_WR)*(1-(VLOOKUP(D482-1,$D:$M,$J$1+(_AusgangswertKURZ="Regionaler Ausgangswert"),FALSE)-VLOOKUP('Erkrankungs- und Strukturdaten'!$C$45,$D:$M,$J$1+(_AusgangswertKURZ="Regionaler Ausgangswert"),FALSE))/$B$16),
IF(_Methodik="Neuinf",AVERAGE(G472:G478)*(AVERAGE(G475:G481)/AVERAGE(G468:G474))^(1/IF($D482-7&gt;_Datum,1,Prognoseparameter!$T$16)),
VLOOKUP(D482-1,D:L,$J$1+(_AusgangswertKURZ="Regionaler Ausgangswert"),FALSE)*(1+($B$29*(1-VLOOKUP(D482-1,D:L,$J$1+(_AusgangswertKURZ="Regionaler Ausgangswert"),FALSE)/$B$16)))-VLOOKUP(D482-1,D:L,$J$1+(_AusgangswertKURZ="Regionaler Ausgangswert"),FALSE))),0),4)+0.000001</f>
        <v>9.9999999999999995E-7</v>
      </c>
      <c r="H482" s="64">
        <f>E482/'Erkrankungs- und Strukturdaten'!$C$7</f>
        <v>6642.3083048550825</v>
      </c>
      <c r="I482" s="64">
        <f t="shared" si="51"/>
        <v>723510.32363600016</v>
      </c>
      <c r="J482" s="64">
        <f t="shared" si="52"/>
        <v>3.5999999999999994E-5</v>
      </c>
      <c r="K482" s="101">
        <f>IFERROR(IF(D482=_Datum,Prognoseparameter!$C$14,
IF(_WachstumsrateKURZ="Bundesweit",IF(D482&gt;_Datum,
         K481+AVERAGE(F478:F481)*(1+_WR)*(1-(K481-VLOOKUP('Erkrankungs- und Strukturdaten'!$C$45,$D:$M,$K$1,FALSE))/$B$16),
         K483-$B$23*F483),
IF(D482&gt;_Datum,K481+G482,IF(G483="",K483/(K483^(1/N482)),K483-G483)))),"")</f>
        <v>92119.362737094198</v>
      </c>
      <c r="L482" s="64">
        <f>I482/'Erkrankungs- und Strukturdaten'!$C$7</f>
        <v>1315473.3157018183</v>
      </c>
      <c r="M482" s="65">
        <f t="shared" si="53"/>
        <v>4.4649256070838214E-3</v>
      </c>
      <c r="N482" s="163">
        <v>217</v>
      </c>
      <c r="O482" s="222">
        <f t="shared" si="54"/>
        <v>0</v>
      </c>
    </row>
    <row r="483" spans="4:15" x14ac:dyDescent="0.2">
      <c r="D483" s="86">
        <v>44337</v>
      </c>
      <c r="E483" s="64">
        <f t="shared" si="50"/>
        <v>3194.1892554406541</v>
      </c>
      <c r="F483" s="101">
        <f>ROUND(IF(_Methodik="Gesamtinf",
AVERAGE(F479:F482)*(1+_WR)*(1-(I482-VLOOKUP('Erkrankungs- und Strukturdaten'!$C$45,$D:$M,$I$1,FALSE))/$B$6),
IF(_Methodik="Neuinf",AVERAGE(F473:F479)*(AVERAGE($F476:$F482)/AVERAGE($F469:$F475))^(1/IF(D483-7&gt;_Datum,1,Prognoseparameter!$T$16)),
(I482)*(1+($B$29*(1-(I482)/$B$6)))-(I482))),4)+0.000001</f>
        <v>3246.762201</v>
      </c>
      <c r="G483" s="140">
        <f>ROUND(IFERROR(IF(_Methodik="Gesamtinf",
AVERAGE(G479:G482)*(1+_WR)*(1-(VLOOKUP(D483-1,$D:$M,$J$1+(_AusgangswertKURZ="Regionaler Ausgangswert"),FALSE)-VLOOKUP('Erkrankungs- und Strukturdaten'!$C$45,$D:$M,$J$1+(_AusgangswertKURZ="Regionaler Ausgangswert"),FALSE))/$B$16),
IF(_Methodik="Neuinf",AVERAGE(G473:G479)*(AVERAGE(G476:G482)/AVERAGE(G469:G475))^(1/IF($D483-7&gt;_Datum,1,Prognoseparameter!$T$16)),
VLOOKUP(D483-1,D:L,$J$1+(_AusgangswertKURZ="Regionaler Ausgangswert"),FALSE)*(1+($B$29*(1-VLOOKUP(D483-1,D:L,$J$1+(_AusgangswertKURZ="Regionaler Ausgangswert"),FALSE)/$B$16)))-VLOOKUP(D483-1,D:L,$J$1+(_AusgangswertKURZ="Regionaler Ausgangswert"),FALSE))),0),4)+0.000001</f>
        <v>9.9999999999999995E-7</v>
      </c>
      <c r="H483" s="64">
        <f>E483/'Erkrankungs- und Strukturdaten'!$C$7</f>
        <v>5807.6168280739157</v>
      </c>
      <c r="I483" s="64">
        <f t="shared" si="51"/>
        <v>726757.08583700017</v>
      </c>
      <c r="J483" s="64">
        <f t="shared" si="52"/>
        <v>3.6999999999999991E-5</v>
      </c>
      <c r="K483" s="101">
        <f>IFERROR(IF(D483=_Datum,Prognoseparameter!$C$14,
IF(_WachstumsrateKURZ="Bundesweit",IF(D483&gt;_Datum,
         K482+AVERAGE(F479:F482)*(1+_WR)*(1-(K482-VLOOKUP('Erkrankungs- und Strukturdaten'!$C$45,$D:$M,$K$1,FALSE))/$B$16),
         K484-$B$23*F484),
IF(D483&gt;_Datum,K482+G483,IF(G484="",K484/(K484^(1/N483)),K484-G484)))),"")</f>
        <v>95203.417630535594</v>
      </c>
      <c r="L483" s="64">
        <f>I483/'Erkrankungs- und Strukturdaten'!$C$7</f>
        <v>1321376.5197036366</v>
      </c>
      <c r="M483" s="65">
        <f t="shared" si="53"/>
        <v>4.4875133013768291E-3</v>
      </c>
      <c r="N483" s="163">
        <v>217</v>
      </c>
      <c r="O483" s="222">
        <f t="shared" si="54"/>
        <v>0</v>
      </c>
    </row>
    <row r="484" spans="4:15" x14ac:dyDescent="0.2">
      <c r="D484" s="86">
        <v>44338</v>
      </c>
      <c r="E484" s="64">
        <f t="shared" si="50"/>
        <v>2397.3567970010808</v>
      </c>
      <c r="F484" s="101">
        <f>ROUND(IF(_Methodik="Gesamtinf",
AVERAGE(F480:F483)*(1+_WR)*(1-(I483-VLOOKUP('Erkrankungs- und Strukturdaten'!$C$45,$D:$M,$I$1,FALSE))/$B$6),
IF(_Methodik="Neuinf",AVERAGE(F474:F480)*(AVERAGE($F477:$F483)/AVERAGE($F470:$F476))^(1/IF(D484-7&gt;_Datum,1,Prognoseparameter!$T$16)),
(I483)*(1+($B$29*(1-(I483)/$B$6)))-(I483))),4)+0.000001</f>
        <v>3280.2746010000001</v>
      </c>
      <c r="G484" s="140">
        <f>ROUND(IFERROR(IF(_Methodik="Gesamtinf",
AVERAGE(G480:G483)*(1+_WR)*(1-(VLOOKUP(D484-1,$D:$M,$J$1+(_AusgangswertKURZ="Regionaler Ausgangswert"),FALSE)-VLOOKUP('Erkrankungs- und Strukturdaten'!$C$45,$D:$M,$J$1+(_AusgangswertKURZ="Regionaler Ausgangswert"),FALSE))/$B$16),
IF(_Methodik="Neuinf",AVERAGE(G474:G480)*(AVERAGE(G477:G483)/AVERAGE(G470:G476))^(1/IF($D484-7&gt;_Datum,1,Prognoseparameter!$T$16)),
VLOOKUP(D484-1,D:L,$J$1+(_AusgangswertKURZ="Regionaler Ausgangswert"),FALSE)*(1+($B$29*(1-VLOOKUP(D484-1,D:L,$J$1+(_AusgangswertKURZ="Regionaler Ausgangswert"),FALSE)/$B$16)))-VLOOKUP(D484-1,D:L,$J$1+(_AusgangswertKURZ="Regionaler Ausgangswert"),FALSE))),0),4)+0.000001</f>
        <v>9.9999999999999995E-7</v>
      </c>
      <c r="H484" s="64">
        <f>E484/'Erkrankungs- und Strukturdaten'!$C$7</f>
        <v>4358.8305400019644</v>
      </c>
      <c r="I484" s="64">
        <f t="shared" si="51"/>
        <v>730037.36043800018</v>
      </c>
      <c r="J484" s="64">
        <f t="shared" si="52"/>
        <v>3.7999999999999989E-5</v>
      </c>
      <c r="K484" s="101">
        <f>IFERROR(IF(D484=_Datum,Prognoseparameter!$C$14,
IF(_WachstumsrateKURZ="Bundesweit",IF(D484&gt;_Datum,
         K483+AVERAGE(F480:F483)*(1+_WR)*(1-(K483-VLOOKUP('Erkrankungs- und Strukturdaten'!$C$45,$D:$M,$K$1,FALSE))/$B$16),
         K485-$B$23*F485),
IF(D484&gt;_Datum,K483+G484,IF(G485="",K485/(K485^(1/N484)),K485-G485)))),"")</f>
        <v>98318.200634853565</v>
      </c>
      <c r="L484" s="64">
        <f>I484/'Erkrankungs- und Strukturdaten'!$C$7</f>
        <v>1327340.6553418185</v>
      </c>
      <c r="M484" s="65">
        <f t="shared" si="53"/>
        <v>4.5135777344670076E-3</v>
      </c>
      <c r="N484" s="163">
        <v>217</v>
      </c>
      <c r="O484" s="222">
        <f t="shared" si="54"/>
        <v>0</v>
      </c>
    </row>
    <row r="485" spans="4:15" x14ac:dyDescent="0.2">
      <c r="D485" s="86">
        <v>44339</v>
      </c>
      <c r="E485" s="64">
        <f t="shared" si="50"/>
        <v>1818.2420210314024</v>
      </c>
      <c r="F485" s="101">
        <f>ROUND(IF(_Methodik="Gesamtinf",
AVERAGE(F481:F484)*(1+_WR)*(1-(I484-VLOOKUP('Erkrankungs- und Strukturdaten'!$C$45,$D:$M,$I$1,FALSE))/$B$6),
IF(_Methodik="Neuinf",AVERAGE(F475:F481)*(AVERAGE($F478:$F484)/AVERAGE($F471:$F477))^(1/IF(D485-7&gt;_Datum,1,Prognoseparameter!$T$16)),
(I484)*(1+($B$29*(1-(I484)/$B$6)))-(I484))),4)+0.000001</f>
        <v>3322.800401</v>
      </c>
      <c r="G485" s="140">
        <f>ROUND(IFERROR(IF(_Methodik="Gesamtinf",
AVERAGE(G481:G484)*(1+_WR)*(1-(VLOOKUP(D485-1,$D:$M,$J$1+(_AusgangswertKURZ="Regionaler Ausgangswert"),FALSE)-VLOOKUP('Erkrankungs- und Strukturdaten'!$C$45,$D:$M,$J$1+(_AusgangswertKURZ="Regionaler Ausgangswert"),FALSE))/$B$16),
IF(_Methodik="Neuinf",AVERAGE(G475:G481)*(AVERAGE(G478:G484)/AVERAGE(G471:G477))^(1/IF($D485-7&gt;_Datum,1,Prognoseparameter!$T$16)),
VLOOKUP(D485-1,D:L,$J$1+(_AusgangswertKURZ="Regionaler Ausgangswert"),FALSE)*(1+($B$29*(1-VLOOKUP(D485-1,D:L,$J$1+(_AusgangswertKURZ="Regionaler Ausgangswert"),FALSE)/$B$16)))-VLOOKUP(D485-1,D:L,$J$1+(_AusgangswertKURZ="Regionaler Ausgangswert"),FALSE))),0),4)+0.000001</f>
        <v>9.9999999999999995E-7</v>
      </c>
      <c r="H485" s="64">
        <f>E485/'Erkrankungs- und Strukturdaten'!$C$7</f>
        <v>3305.8945836934586</v>
      </c>
      <c r="I485" s="64">
        <f t="shared" si="51"/>
        <v>733360.16083900013</v>
      </c>
      <c r="J485" s="64">
        <f t="shared" si="52"/>
        <v>3.8999999999999986E-5</v>
      </c>
      <c r="K485" s="101">
        <f>IFERROR(IF(D485=_Datum,Prognoseparameter!$C$14,
IF(_WachstumsrateKURZ="Bundesweit",IF(D485&gt;_Datum,
         K484+AVERAGE(F481:F484)*(1+_WR)*(1-(K484-VLOOKUP('Erkrankungs- und Strukturdaten'!$C$45,$D:$M,$K$1,FALSE))/$B$16),
         K486-$B$23*F486),
IF(D485&gt;_Datum,K484+G485,IF(G486="",K486/(K486^(1/N485)),K486-G486)))),"")</f>
        <v>101462.87771701429</v>
      </c>
      <c r="L485" s="64">
        <f>I485/'Erkrankungs- und Strukturdaten'!$C$7</f>
        <v>1333382.1106163638</v>
      </c>
      <c r="M485" s="65">
        <f t="shared" si="53"/>
        <v>4.5515484289822888E-3</v>
      </c>
      <c r="N485" s="163">
        <v>217</v>
      </c>
      <c r="O485" s="222">
        <f t="shared" si="54"/>
        <v>0</v>
      </c>
    </row>
    <row r="486" spans="4:15" x14ac:dyDescent="0.2">
      <c r="D486" s="86">
        <v>44340</v>
      </c>
      <c r="E486" s="64">
        <f t="shared" si="50"/>
        <v>4083.2749021027557</v>
      </c>
      <c r="F486" s="101">
        <f>ROUND(IF(_Methodik="Gesamtinf",
AVERAGE(F482:F485)*(1+_WR)*(1-(I485-VLOOKUP('Erkrankungs- und Strukturdaten'!$C$45,$D:$M,$I$1,FALSE))/$B$6),
IF(_Methodik="Neuinf",AVERAGE(F476:F482)*(AVERAGE($F479:$F485)/AVERAGE($F472:$F478))^(1/IF(D486-7&gt;_Datum,1,Prognoseparameter!$T$16)),
(I485)*(1+($B$29*(1-(I485)/$B$6)))-(I485))),4)+0.000001</f>
        <v>3367.4693010000001</v>
      </c>
      <c r="G486" s="140">
        <f>ROUND(IFERROR(IF(_Methodik="Gesamtinf",
AVERAGE(G482:G485)*(1+_WR)*(1-(VLOOKUP(D486-1,$D:$M,$J$1+(_AusgangswertKURZ="Regionaler Ausgangswert"),FALSE)-VLOOKUP('Erkrankungs- und Strukturdaten'!$C$45,$D:$M,$J$1+(_AusgangswertKURZ="Regionaler Ausgangswert"),FALSE))/$B$16),
IF(_Methodik="Neuinf",AVERAGE(G476:G482)*(AVERAGE(G479:G485)/AVERAGE(G472:G478))^(1/IF($D486-7&gt;_Datum,1,Prognoseparameter!$T$16)),
VLOOKUP(D486-1,D:L,$J$1+(_AusgangswertKURZ="Regionaler Ausgangswert"),FALSE)*(1+($B$29*(1-VLOOKUP(D486-1,D:L,$J$1+(_AusgangswertKURZ="Regionaler Ausgangswert"),FALSE)/$B$16)))-VLOOKUP(D486-1,D:L,$J$1+(_AusgangswertKURZ="Regionaler Ausgangswert"),FALSE))),0),4)+0.000001</f>
        <v>9.9999999999999995E-7</v>
      </c>
      <c r="H486" s="64">
        <f>E486/'Erkrankungs- und Strukturdaten'!$C$7</f>
        <v>7424.1361856413732</v>
      </c>
      <c r="I486" s="64">
        <f t="shared" si="51"/>
        <v>736727.63014000014</v>
      </c>
      <c r="J486" s="64">
        <f t="shared" si="52"/>
        <v>3.9999999999999983E-5</v>
      </c>
      <c r="K486" s="101">
        <f>IFERROR(IF(D486=_Datum,Prognoseparameter!$C$14,
IF(_WachstumsrateKURZ="Bundesweit",IF(D486&gt;_Datum,
         K485+AVERAGE(F482:F485)*(1+_WR)*(1-(K485-VLOOKUP('Erkrankungs- und Strukturdaten'!$C$45,$D:$M,$K$1,FALSE))/$B$16),
         K487-$B$23*F487),
IF(D486&gt;_Datum,K485+G486,IF(G487="",K487/(K487^(1/N486)),K487-G487)))),"")</f>
        <v>104638.93861771176</v>
      </c>
      <c r="L486" s="64">
        <f>I486/'Erkrankungs- und Strukturdaten'!$C$7</f>
        <v>1339504.7820727273</v>
      </c>
      <c r="M486" s="65">
        <f t="shared" si="53"/>
        <v>4.5918356093238742E-3</v>
      </c>
      <c r="N486" s="163">
        <v>217</v>
      </c>
      <c r="O486" s="222">
        <f t="shared" si="54"/>
        <v>0</v>
      </c>
    </row>
    <row r="487" spans="4:15" x14ac:dyDescent="0.2">
      <c r="D487" s="86">
        <v>44341</v>
      </c>
      <c r="E487" s="64">
        <f t="shared" si="50"/>
        <v>4263.0535468773187</v>
      </c>
      <c r="F487" s="101">
        <f>ROUND(IF(_Methodik="Gesamtinf",
AVERAGE(F483:F486)*(1+_WR)*(1-(I486-VLOOKUP('Erkrankungs- und Strukturdaten'!$C$45,$D:$M,$I$1,FALSE))/$B$6),
IF(_Methodik="Neuinf",AVERAGE(F477:F483)*(AVERAGE($F480:$F486)/AVERAGE($F473:$F479))^(1/IF(D487-7&gt;_Datum,1,Prognoseparameter!$T$16)),
(I486)*(1+($B$29*(1-(I486)/$B$6)))-(I486))),4)+0.000001</f>
        <v>3405.9986009999998</v>
      </c>
      <c r="G487" s="140">
        <f>ROUND(IFERROR(IF(_Methodik="Gesamtinf",
AVERAGE(G483:G486)*(1+_WR)*(1-(VLOOKUP(D487-1,$D:$M,$J$1+(_AusgangswertKURZ="Regionaler Ausgangswert"),FALSE)-VLOOKUP('Erkrankungs- und Strukturdaten'!$C$45,$D:$M,$J$1+(_AusgangswertKURZ="Regionaler Ausgangswert"),FALSE))/$B$16),
IF(_Methodik="Neuinf",AVERAGE(G477:G483)*(AVERAGE(G480:G486)/AVERAGE(G473:G479))^(1/IF($D487-7&gt;_Datum,1,Prognoseparameter!$T$16)),
VLOOKUP(D487-1,D:L,$J$1+(_AusgangswertKURZ="Regionaler Ausgangswert"),FALSE)*(1+($B$29*(1-VLOOKUP(D487-1,D:L,$J$1+(_AusgangswertKURZ="Regionaler Ausgangswert"),FALSE)/$B$16)))-VLOOKUP(D487-1,D:L,$J$1+(_AusgangswertKURZ="Regionaler Ausgangswert"),FALSE))),0),4)+0.000001</f>
        <v>9.9999999999999995E-7</v>
      </c>
      <c r="H487" s="64">
        <f>E487/'Erkrankungs- und Strukturdaten'!$C$7</f>
        <v>7751.0064488678518</v>
      </c>
      <c r="I487" s="64">
        <f t="shared" si="51"/>
        <v>740133.6287410002</v>
      </c>
      <c r="J487" s="64">
        <f t="shared" si="52"/>
        <v>4.099999999999998E-5</v>
      </c>
      <c r="K487" s="101">
        <f>IFERROR(IF(D487=_Datum,Prognoseparameter!$C$14,
IF(_WachstumsrateKURZ="Bundesweit",IF(D487&gt;_Datum,
         K486+AVERAGE(F483:F486)*(1+_WR)*(1-(K486-VLOOKUP('Erkrankungs- und Strukturdaten'!$C$45,$D:$M,$K$1,FALSE))/$B$16),
         K488-$B$23*F488),
IF(D487&gt;_Datum,K486+G487,IF(G488="",K488/(K488^(1/N487)),K488-G488)))),"")</f>
        <v>107848.60339503258</v>
      </c>
      <c r="L487" s="64">
        <f>I487/'Erkrankungs- und Strukturdaten'!$C$7</f>
        <v>1345697.5068018185</v>
      </c>
      <c r="M487" s="65">
        <f t="shared" si="53"/>
        <v>4.6231449203999811E-3</v>
      </c>
      <c r="N487" s="163">
        <v>217</v>
      </c>
      <c r="O487" s="222">
        <f t="shared" si="54"/>
        <v>0</v>
      </c>
    </row>
    <row r="488" spans="4:15" x14ac:dyDescent="0.2">
      <c r="D488" s="86">
        <v>44342</v>
      </c>
      <c r="E488" s="64">
        <f t="shared" si="50"/>
        <v>3917.5479387048222</v>
      </c>
      <c r="F488" s="101">
        <f>ROUND(IF(_Methodik="Gesamtinf",
AVERAGE(F484:F487)*(1+_WR)*(1-(I487-VLOOKUP('Erkrankungs- und Strukturdaten'!$C$45,$D:$M,$I$1,FALSE))/$B$6),
IF(_Methodik="Neuinf",AVERAGE(F478:F484)*(AVERAGE($F481:$F487)/AVERAGE($F474:$F480))^(1/IF(D488-7&gt;_Datum,1,Prognoseparameter!$T$16)),
(I487)*(1+($B$29*(1-(I487)/$B$6)))-(I487))),4)+0.000001</f>
        <v>3442.4579009999998</v>
      </c>
      <c r="G488" s="140">
        <f>ROUND(IFERROR(IF(_Methodik="Gesamtinf",
AVERAGE(G484:G487)*(1+_WR)*(1-(VLOOKUP(D488-1,$D:$M,$J$1+(_AusgangswertKURZ="Regionaler Ausgangswert"),FALSE)-VLOOKUP('Erkrankungs- und Strukturdaten'!$C$45,$D:$M,$J$1+(_AusgangswertKURZ="Regionaler Ausgangswert"),FALSE))/$B$16),
IF(_Methodik="Neuinf",AVERAGE(G478:G484)*(AVERAGE(G481:G487)/AVERAGE(G474:G480))^(1/IF($D488-7&gt;_Datum,1,Prognoseparameter!$T$16)),
VLOOKUP(D488-1,D:L,$J$1+(_AusgangswertKURZ="Regionaler Ausgangswert"),FALSE)*(1+($B$29*(1-VLOOKUP(D488-1,D:L,$J$1+(_AusgangswertKURZ="Regionaler Ausgangswert"),FALSE)/$B$16)))-VLOOKUP(D488-1,D:L,$J$1+(_AusgangswertKURZ="Regionaler Ausgangswert"),FALSE))),0),4)+0.000001</f>
        <v>9.9999999999999995E-7</v>
      </c>
      <c r="H488" s="64">
        <f>E488/'Erkrankungs- und Strukturdaten'!$C$7</f>
        <v>7122.8144340087674</v>
      </c>
      <c r="I488" s="64">
        <f t="shared" si="51"/>
        <v>743576.08664200024</v>
      </c>
      <c r="J488" s="64">
        <f t="shared" si="52"/>
        <v>4.1999999999999977E-5</v>
      </c>
      <c r="K488" s="101">
        <f>IFERROR(IF(D488=_Datum,Prognoseparameter!$C$14,
IF(_WachstumsrateKURZ="Bundesweit",IF(D488&gt;_Datum,
         K487+AVERAGE(F484:F487)*(1+_WR)*(1-(K487-VLOOKUP('Erkrankungs- und Strukturdaten'!$C$45,$D:$M,$K$1,FALSE))/$B$16),
         K489-$B$23*F489),
IF(D488&gt;_Datum,K487+G488,IF(G489="",K489/(K489^(1/N488)),K489-G489)))),"")</f>
        <v>111093.66334268633</v>
      </c>
      <c r="L488" s="64">
        <f>I488/'Erkrankungs- und Strukturdaten'!$C$7</f>
        <v>1351956.5211672732</v>
      </c>
      <c r="M488" s="65">
        <f t="shared" si="53"/>
        <v>4.6511302382730765E-3</v>
      </c>
      <c r="N488" s="163">
        <v>217</v>
      </c>
      <c r="O488" s="222">
        <f t="shared" si="54"/>
        <v>0</v>
      </c>
    </row>
    <row r="489" spans="4:15" x14ac:dyDescent="0.2">
      <c r="D489" s="86">
        <v>44343</v>
      </c>
      <c r="E489" s="64">
        <f t="shared" si="50"/>
        <v>3951.9739620186688</v>
      </c>
      <c r="F489" s="101">
        <f>ROUND(IF(_Methodik="Gesamtinf",
AVERAGE(F485:F488)*(1+_WR)*(1-(I488-VLOOKUP('Erkrankungs- und Strukturdaten'!$C$45,$D:$M,$I$1,FALSE))/$B$6),
IF(_Methodik="Neuinf",AVERAGE(F479:F485)*(AVERAGE($F482:$F488)/AVERAGE($F475:$F481))^(1/IF(D489-7&gt;_Datum,1,Prognoseparameter!$T$16)),
(I488)*(1+($B$29*(1-(I488)/$B$6)))-(I488))),4)+0.000001</f>
        <v>3479.016901</v>
      </c>
      <c r="G489" s="140">
        <f>ROUND(IFERROR(IF(_Methodik="Gesamtinf",
AVERAGE(G485:G488)*(1+_WR)*(1-(VLOOKUP(D489-1,$D:$M,$J$1+(_AusgangswertKURZ="Regionaler Ausgangswert"),FALSE)-VLOOKUP('Erkrankungs- und Strukturdaten'!$C$45,$D:$M,$J$1+(_AusgangswertKURZ="Regionaler Ausgangswert"),FALSE))/$B$16),
IF(_Methodik="Neuinf",AVERAGE(G479:G485)*(AVERAGE(G482:G488)/AVERAGE(G475:G481))^(1/IF($D489-7&gt;_Datum,1,Prognoseparameter!$T$16)),
VLOOKUP(D489-1,D:L,$J$1+(_AusgangswertKURZ="Regionaler Ausgangswert"),FALSE)*(1+($B$29*(1-VLOOKUP(D489-1,D:L,$J$1+(_AusgangswertKURZ="Regionaler Ausgangswert"),FALSE)/$B$16)))-VLOOKUP(D489-1,D:L,$J$1+(_AusgangswertKURZ="Regionaler Ausgangswert"),FALSE))),0),4)+0.000001</f>
        <v>9.9999999999999995E-7</v>
      </c>
      <c r="H489" s="64">
        <f>E489/'Erkrankungs- und Strukturdaten'!$C$7</f>
        <v>7185.4072036703064</v>
      </c>
      <c r="I489" s="64">
        <f t="shared" si="51"/>
        <v>747055.1035430003</v>
      </c>
      <c r="J489" s="64">
        <f t="shared" si="52"/>
        <v>4.2999999999999975E-5</v>
      </c>
      <c r="K489" s="101">
        <f>IFERROR(IF(D489=_Datum,Prognoseparameter!$C$14,
IF(_WachstumsrateKURZ="Bundesweit",IF(D489&gt;_Datum,
         K488+AVERAGE(F485:F488)*(1+_WR)*(1-(K488-VLOOKUP('Erkrankungs- und Strukturdaten'!$C$45,$D:$M,$K$1,FALSE))/$B$16),
         K490-$B$23*F490),
IF(D489&gt;_Datum,K488+G489,IF(G490="",K490/(K490^(1/N489)),K490-G490)))),"")</f>
        <v>114374.71816501429</v>
      </c>
      <c r="L489" s="64">
        <f>I489/'Erkrankungs- und Strukturdaten'!$C$7</f>
        <v>1358282.0064418186</v>
      </c>
      <c r="M489" s="65">
        <f t="shared" si="53"/>
        <v>4.6787638326446744E-3</v>
      </c>
      <c r="N489" s="163">
        <v>217</v>
      </c>
      <c r="O489" s="222">
        <f t="shared" si="54"/>
        <v>0</v>
      </c>
    </row>
    <row r="490" spans="4:15" x14ac:dyDescent="0.2">
      <c r="D490" s="86">
        <v>44344</v>
      </c>
      <c r="E490" s="64">
        <f t="shared" si="50"/>
        <v>3459.8998428011319</v>
      </c>
      <c r="F490" s="101">
        <f>ROUND(IF(_Methodik="Gesamtinf",
AVERAGE(F486:F489)*(1+_WR)*(1-(I489-VLOOKUP('Erkrankungs- und Strukturdaten'!$C$45,$D:$M,$I$1,FALSE))/$B$6),
IF(_Methodik="Neuinf",AVERAGE(F480:F486)*(AVERAGE($F483:$F489)/AVERAGE($F476:$F482))^(1/IF(D490-7&gt;_Datum,1,Prognoseparameter!$T$16)),
(I489)*(1+($B$29*(1-(I489)/$B$6)))-(I489))),4)+0.000001</f>
        <v>3516.8461010000001</v>
      </c>
      <c r="G490" s="140">
        <f>ROUND(IFERROR(IF(_Methodik="Gesamtinf",
AVERAGE(G486:G489)*(1+_WR)*(1-(VLOOKUP(D490-1,$D:$M,$J$1+(_AusgangswertKURZ="Regionaler Ausgangswert"),FALSE)-VLOOKUP('Erkrankungs- und Strukturdaten'!$C$45,$D:$M,$J$1+(_AusgangswertKURZ="Regionaler Ausgangswert"),FALSE))/$B$16),
IF(_Methodik="Neuinf",AVERAGE(G480:G486)*(AVERAGE(G483:G489)/AVERAGE(G476:G482))^(1/IF($D490-7&gt;_Datum,1,Prognoseparameter!$T$16)),
VLOOKUP(D490-1,D:L,$J$1+(_AusgangswertKURZ="Regionaler Ausgangswert"),FALSE)*(1+($B$29*(1-VLOOKUP(D490-1,D:L,$J$1+(_AusgangswertKURZ="Regionaler Ausgangswert"),FALSE)/$B$16)))-VLOOKUP(D490-1,D:L,$J$1+(_AusgangswertKURZ="Regionaler Ausgangswert"),FALSE))),0),4)+0.000001</f>
        <v>9.9999999999999995E-7</v>
      </c>
      <c r="H490" s="64">
        <f>E490/'Erkrankungs- und Strukturdaten'!$C$7</f>
        <v>6290.7269869111487</v>
      </c>
      <c r="I490" s="64">
        <f t="shared" si="51"/>
        <v>750571.94964400027</v>
      </c>
      <c r="J490" s="64">
        <f t="shared" si="52"/>
        <v>4.3999999999999972E-5</v>
      </c>
      <c r="K490" s="101">
        <f>IFERROR(IF(D490=_Datum,Prognoseparameter!$C$14,
IF(_WachstumsrateKURZ="Bundesweit",IF(D490&gt;_Datum,
         K489+AVERAGE(F486:F489)*(1+_WR)*(1-(K489-VLOOKUP('Erkrankungs- und Strukturdaten'!$C$45,$D:$M,$K$1,FALSE))/$B$16),
         K491-$B$23*F491),
IF(D490&gt;_Datum,K489+G490,IF(G491="",K491/(K491^(1/N490)),K491-G491)))),"")</f>
        <v>117690.20547057445</v>
      </c>
      <c r="L490" s="64">
        <f>I490/'Erkrankungs- und Strukturdaten'!$C$7</f>
        <v>1364676.2720800005</v>
      </c>
      <c r="M490" s="65">
        <f t="shared" si="53"/>
        <v>4.7076127106566844E-3</v>
      </c>
      <c r="N490" s="163">
        <v>217</v>
      </c>
      <c r="O490" s="222">
        <f t="shared" si="54"/>
        <v>0</v>
      </c>
    </row>
    <row r="491" spans="4:15" x14ac:dyDescent="0.2">
      <c r="D491" s="86">
        <v>44345</v>
      </c>
      <c r="E491" s="64">
        <f t="shared" si="50"/>
        <v>2601.139110786256</v>
      </c>
      <c r="F491" s="101">
        <f>ROUND(IF(_Methodik="Gesamtinf",
AVERAGE(F487:F490)*(1+_WR)*(1-(I490-VLOOKUP('Erkrankungs- und Strukturdaten'!$C$45,$D:$M,$I$1,FALSE))/$B$6),
IF(_Methodik="Neuinf",AVERAGE(F481:F487)*(AVERAGE($F484:$F490)/AVERAGE($F477:$F483))^(1/IF(D491-7&gt;_Datum,1,Prognoseparameter!$T$16)),
(I490)*(1+($B$29*(1-(I490)/$B$6)))-(I490))),4)+0.000001</f>
        <v>3559.107501</v>
      </c>
      <c r="G491" s="140">
        <f>ROUND(IFERROR(IF(_Methodik="Gesamtinf",
AVERAGE(G487:G490)*(1+_WR)*(1-(VLOOKUP(D491-1,$D:$M,$J$1+(_AusgangswertKURZ="Regionaler Ausgangswert"),FALSE)-VLOOKUP('Erkrankungs- und Strukturdaten'!$C$45,$D:$M,$J$1+(_AusgangswertKURZ="Regionaler Ausgangswert"),FALSE))/$B$16),
IF(_Methodik="Neuinf",AVERAGE(G481:G487)*(AVERAGE(G484:G490)/AVERAGE(G477:G483))^(1/IF($D491-7&gt;_Datum,1,Prognoseparameter!$T$16)),
VLOOKUP(D491-1,D:L,$J$1+(_AusgangswertKURZ="Regionaler Ausgangswert"),FALSE)*(1+($B$29*(1-VLOOKUP(D491-1,D:L,$J$1+(_AusgangswertKURZ="Regionaler Ausgangswert"),FALSE)/$B$16)))-VLOOKUP(D491-1,D:L,$J$1+(_AusgangswertKURZ="Regionaler Ausgangswert"),FALSE))),0),4)+0.000001</f>
        <v>9.9999999999999995E-7</v>
      </c>
      <c r="H491" s="64">
        <f>E491/'Erkrankungs- und Strukturdaten'!$C$7</f>
        <v>4729.3438377931925</v>
      </c>
      <c r="I491" s="64">
        <f t="shared" si="51"/>
        <v>754131.05714500032</v>
      </c>
      <c r="J491" s="64">
        <f t="shared" si="52"/>
        <v>4.4999999999999969E-5</v>
      </c>
      <c r="K491" s="101">
        <f>IFERROR(IF(D491=_Datum,Prognoseparameter!$C$14,
IF(_WachstumsrateKURZ="Bundesweit",IF(D491&gt;_Datum,
         K490+AVERAGE(F487:F490)*(1+_WR)*(1-(K490-VLOOKUP('Erkrankungs- und Strukturdaten'!$C$45,$D:$M,$K$1,FALSE))/$B$16),
         K492-$B$23*F492),
IF(D491&gt;_Datum,K490+G491,IF(G492="",K492/(K492^(1/N491)),K492-G492)))),"")</f>
        <v>121038.35660432093</v>
      </c>
      <c r="L491" s="64">
        <f>I491/'Erkrankungs- und Strukturdaten'!$C$7</f>
        <v>1371147.3766272732</v>
      </c>
      <c r="M491" s="65">
        <f t="shared" si="53"/>
        <v>4.7418605274126627E-3</v>
      </c>
      <c r="N491" s="163">
        <v>217</v>
      </c>
      <c r="O491" s="222">
        <f t="shared" si="54"/>
        <v>0</v>
      </c>
    </row>
    <row r="492" spans="4:15" x14ac:dyDescent="0.2">
      <c r="D492" s="86">
        <v>44346</v>
      </c>
      <c r="E492" s="64">
        <f t="shared" si="50"/>
        <v>1971.2232544184483</v>
      </c>
      <c r="F492" s="101">
        <f>ROUND(IF(_Methodik="Gesamtinf",
AVERAGE(F488:F491)*(1+_WR)*(1-(I491-VLOOKUP('Erkrankungs- und Strukturdaten'!$C$45,$D:$M,$I$1,FALSE))/$B$6),
IF(_Methodik="Neuinf",AVERAGE(F482:F488)*(AVERAGE($F485:$F491)/AVERAGE($F478:$F484))^(1/IF(D492-7&gt;_Datum,1,Prognoseparameter!$T$16)),
(I491)*(1+($B$29*(1-(I491)/$B$6)))-(I491))),4)+0.000001</f>
        <v>3602.3705009999999</v>
      </c>
      <c r="G492" s="140">
        <f>ROUND(IFERROR(IF(_Methodik="Gesamtinf",
AVERAGE(G488:G491)*(1+_WR)*(1-(VLOOKUP(D492-1,$D:$M,$J$1+(_AusgangswertKURZ="Regionaler Ausgangswert"),FALSE)-VLOOKUP('Erkrankungs- und Strukturdaten'!$C$45,$D:$M,$J$1+(_AusgangswertKURZ="Regionaler Ausgangswert"),FALSE))/$B$16),
IF(_Methodik="Neuinf",AVERAGE(G482:G488)*(AVERAGE(G485:G491)/AVERAGE(G478:G484))^(1/IF($D492-7&gt;_Datum,1,Prognoseparameter!$T$16)),
VLOOKUP(D492-1,D:L,$J$1+(_AusgangswertKURZ="Regionaler Ausgangswert"),FALSE)*(1+($B$29*(1-VLOOKUP(D492-1,D:L,$J$1+(_AusgangswertKURZ="Regionaler Ausgangswert"),FALSE)/$B$16)))-VLOOKUP(D492-1,D:L,$J$1+(_AusgangswertKURZ="Regionaler Ausgangswert"),FALSE))),0),4)+0.000001</f>
        <v>9.9999999999999995E-7</v>
      </c>
      <c r="H492" s="64">
        <f>E492/'Erkrankungs- und Strukturdaten'!$C$7</f>
        <v>3584.0422807608147</v>
      </c>
      <c r="I492" s="64">
        <f t="shared" si="51"/>
        <v>757733.42764600029</v>
      </c>
      <c r="J492" s="64">
        <f t="shared" si="52"/>
        <v>4.5999999999999966E-5</v>
      </c>
      <c r="K492" s="101">
        <f>IFERROR(IF(D492=_Datum,Prognoseparameter!$C$14,
IF(_WachstumsrateKURZ="Bundesweit",IF(D492&gt;_Datum,
         K491+AVERAGE(F488:F491)*(1+_WR)*(1-(K491-VLOOKUP('Erkrankungs- und Strukturdaten'!$C$45,$D:$M,$K$1,FALSE))/$B$16),
         K493-$B$23*F493),
IF(D492&gt;_Datum,K491+G492,IF(G493="",K493/(K493^(1/N492)),K493-G493)))),"")</f>
        <v>124419.96282442848</v>
      </c>
      <c r="L492" s="64">
        <f>I492/'Erkrankungs- und Strukturdaten'!$C$7</f>
        <v>1377697.141174546</v>
      </c>
      <c r="M492" s="65">
        <f t="shared" si="53"/>
        <v>4.7768494174445916E-3</v>
      </c>
      <c r="N492" s="163">
        <v>217</v>
      </c>
      <c r="O492" s="222">
        <f t="shared" si="54"/>
        <v>0</v>
      </c>
    </row>
    <row r="493" spans="4:15" x14ac:dyDescent="0.2">
      <c r="D493" s="86">
        <v>44347</v>
      </c>
      <c r="E493" s="64">
        <f t="shared" si="50"/>
        <v>4418.0406542152377</v>
      </c>
      <c r="F493" s="101">
        <f>ROUND(IF(_Methodik="Gesamtinf",
AVERAGE(F489:F492)*(1+_WR)*(1-(I492-VLOOKUP('Erkrankungs- und Strukturdaten'!$C$45,$D:$M,$I$1,FALSE))/$B$6),
IF(_Methodik="Neuinf",AVERAGE(F483:F489)*(AVERAGE($F486:$F492)/AVERAGE($F479:$F485))^(1/IF(D493-7&gt;_Datum,1,Prognoseparameter!$T$16)),
(I492)*(1+($B$29*(1-(I492)/$B$6)))-(I492))),4)+0.000001</f>
        <v>3643.5500010000001</v>
      </c>
      <c r="G493" s="140">
        <f>ROUND(IFERROR(IF(_Methodik="Gesamtinf",
AVERAGE(G489:G492)*(1+_WR)*(1-(VLOOKUP(D493-1,$D:$M,$J$1+(_AusgangswertKURZ="Regionaler Ausgangswert"),FALSE)-VLOOKUP('Erkrankungs- und Strukturdaten'!$C$45,$D:$M,$J$1+(_AusgangswertKURZ="Regionaler Ausgangswert"),FALSE))/$B$16),
IF(_Methodik="Neuinf",AVERAGE(G483:G489)*(AVERAGE(G486:G492)/AVERAGE(G479:G485))^(1/IF($D493-7&gt;_Datum,1,Prognoseparameter!$T$16)),
VLOOKUP(D493-1,D:L,$J$1+(_AusgangswertKURZ="Regionaler Ausgangswert"),FALSE)*(1+($B$29*(1-VLOOKUP(D493-1,D:L,$J$1+(_AusgangswertKURZ="Regionaler Ausgangswert"),FALSE)/$B$16)))-VLOOKUP(D493-1,D:L,$J$1+(_AusgangswertKURZ="Regionaler Ausgangswert"),FALSE))),0),4)+0.000001</f>
        <v>9.9999999999999995E-7</v>
      </c>
      <c r="H493" s="64">
        <f>E493/'Erkrankungs- und Strukturdaten'!$C$7</f>
        <v>8032.8011894822494</v>
      </c>
      <c r="I493" s="64">
        <f t="shared" si="51"/>
        <v>761376.97764700034</v>
      </c>
      <c r="J493" s="64">
        <f t="shared" si="52"/>
        <v>4.6999999999999963E-5</v>
      </c>
      <c r="K493" s="101">
        <f>IFERROR(IF(D493=_Datum,Prognoseparameter!$C$14,
IF(_WachstumsrateKURZ="Bundesweit",IF(D493&gt;_Datum,
         K492+AVERAGE(F489:F492)*(1+_WR)*(1-(K492-VLOOKUP('Erkrankungs- und Strukturdaten'!$C$45,$D:$M,$K$1,FALSE))/$B$16),
         K494-$B$23*F494),
IF(D493&gt;_Datum,K492+G493,IF(G494="",K494/(K494^(1/N493)),K494-G494)))),"")</f>
        <v>127836.55180184958</v>
      </c>
      <c r="L493" s="64">
        <f>I493/'Erkrankungs- und Strukturdaten'!$C$7</f>
        <v>1384321.7775400006</v>
      </c>
      <c r="M493" s="65">
        <f t="shared" si="53"/>
        <v>4.8084852377692075E-3</v>
      </c>
      <c r="N493" s="163">
        <v>217</v>
      </c>
      <c r="O493" s="222">
        <f t="shared" si="54"/>
        <v>0</v>
      </c>
    </row>
    <row r="494" spans="4:15" x14ac:dyDescent="0.2">
      <c r="D494" s="86">
        <v>44348</v>
      </c>
      <c r="E494" s="64">
        <f t="shared" si="50"/>
        <v>4611.8373060386148</v>
      </c>
      <c r="F494" s="101">
        <f>ROUND(IF(_Methodik="Gesamtinf",
AVERAGE(F490:F493)*(1+_WR)*(1-(I493-VLOOKUP('Erkrankungs- und Strukturdaten'!$C$45,$D:$M,$I$1,FALSE))/$B$6),
IF(_Methodik="Neuinf",AVERAGE(F484:F490)*(AVERAGE($F487:$F493)/AVERAGE($F480:$F486))^(1/IF(D494-7&gt;_Datum,1,Prognoseparameter!$T$16)),
(I493)*(1+($B$29*(1-(I493)/$B$6)))-(I493))),4)+0.000001</f>
        <v>3684.6620009999997</v>
      </c>
      <c r="G494" s="140">
        <f>ROUND(IFERROR(IF(_Methodik="Gesamtinf",
AVERAGE(G490:G493)*(1+_WR)*(1-(VLOOKUP(D494-1,$D:$M,$J$1+(_AusgangswertKURZ="Regionaler Ausgangswert"),FALSE)-VLOOKUP('Erkrankungs- und Strukturdaten'!$C$45,$D:$M,$J$1+(_AusgangswertKURZ="Regionaler Ausgangswert"),FALSE))/$B$16),
IF(_Methodik="Neuinf",AVERAGE(G484:G490)*(AVERAGE(G487:G493)/AVERAGE(G480:G486))^(1/IF($D494-7&gt;_Datum,1,Prognoseparameter!$T$16)),
VLOOKUP(D494-1,D:L,$J$1+(_AusgangswertKURZ="Regionaler Ausgangswert"),FALSE)*(1+($B$29*(1-VLOOKUP(D494-1,D:L,$J$1+(_AusgangswertKURZ="Regionaler Ausgangswert"),FALSE)/$B$16)))-VLOOKUP(D494-1,D:L,$J$1+(_AusgangswertKURZ="Regionaler Ausgangswert"),FALSE))),0),4)+0.000001</f>
        <v>9.9999999999999995E-7</v>
      </c>
      <c r="H494" s="64">
        <f>E494/'Erkrankungs- und Strukturdaten'!$C$7</f>
        <v>8385.1587382520265</v>
      </c>
      <c r="I494" s="64">
        <f t="shared" si="51"/>
        <v>765061.63964800036</v>
      </c>
      <c r="J494" s="64">
        <f t="shared" si="52"/>
        <v>4.7999999999999961E-5</v>
      </c>
      <c r="K494" s="101">
        <f>IFERROR(IF(D494=_Datum,Prognoseparameter!$C$14,
IF(_WachstumsrateKURZ="Bundesweit",IF(D494&gt;_Datum,
         K493+AVERAGE(F490:F493)*(1+_WR)*(1-(K493-VLOOKUP('Erkrankungs- und Strukturdaten'!$C$45,$D:$M,$K$1,FALSE))/$B$16),
         K495-$B$23*F495),
IF(D494&gt;_Datum,K493+G494,IF(G495="",K495/(K495^(1/N494)),K495-G495)))),"")</f>
        <v>131289.11675026879</v>
      </c>
      <c r="L494" s="64">
        <f>I494/'Erkrankungs- und Strukturdaten'!$C$7</f>
        <v>1391021.1629963643</v>
      </c>
      <c r="M494" s="65">
        <f t="shared" si="53"/>
        <v>4.8394712595425373E-3</v>
      </c>
      <c r="N494" s="163">
        <v>217</v>
      </c>
      <c r="O494" s="222">
        <f t="shared" si="54"/>
        <v>0</v>
      </c>
    </row>
    <row r="495" spans="4:15" x14ac:dyDescent="0.2">
      <c r="D495" s="86">
        <v>44349</v>
      </c>
      <c r="E495" s="64">
        <f t="shared" si="50"/>
        <v>4241.5789201739308</v>
      </c>
      <c r="F495" s="101">
        <f>ROUND(IF(_Methodik="Gesamtinf",
AVERAGE(F491:F494)*(1+_WR)*(1-(I494-VLOOKUP('Erkrankungs- und Strukturdaten'!$C$45,$D:$M,$I$1,FALSE))/$B$6),
IF(_Methodik="Neuinf",AVERAGE(F485:F491)*(AVERAGE($F488:$F494)/AVERAGE($F481:$F487))^(1/IF(D495-7&gt;_Datum,1,Prognoseparameter!$T$16)),
(I494)*(1+($B$29*(1-(I494)/$B$6)))-(I494))),4)+0.000001</f>
        <v>3727.1929009999999</v>
      </c>
      <c r="G495" s="140">
        <f>ROUND(IFERROR(IF(_Methodik="Gesamtinf",
AVERAGE(G491:G494)*(1+_WR)*(1-(VLOOKUP(D495-1,$D:$M,$J$1+(_AusgangswertKURZ="Regionaler Ausgangswert"),FALSE)-VLOOKUP('Erkrankungs- und Strukturdaten'!$C$45,$D:$M,$J$1+(_AusgangswertKURZ="Regionaler Ausgangswert"),FALSE))/$B$16),
IF(_Methodik="Neuinf",AVERAGE(G485:G491)*(AVERAGE(G488:G494)/AVERAGE(G481:G487))^(1/IF($D495-7&gt;_Datum,1,Prognoseparameter!$T$16)),
VLOOKUP(D495-1,D:L,$J$1+(_AusgangswertKURZ="Regionaler Ausgangswert"),FALSE)*(1+($B$29*(1-VLOOKUP(D495-1,D:L,$J$1+(_AusgangswertKURZ="Regionaler Ausgangswert"),FALSE)/$B$16)))-VLOOKUP(D495-1,D:L,$J$1+(_AusgangswertKURZ="Regionaler Ausgangswert"),FALSE))),0),4)+0.000001</f>
        <v>9.9999999999999995E-7</v>
      </c>
      <c r="H495" s="64">
        <f>E495/'Erkrankungs- und Strukturdaten'!$C$7</f>
        <v>7711.96167304351</v>
      </c>
      <c r="I495" s="64">
        <f t="shared" si="51"/>
        <v>768788.83254900039</v>
      </c>
      <c r="J495" s="64">
        <f t="shared" si="52"/>
        <v>4.8999999999999958E-5</v>
      </c>
      <c r="K495" s="101">
        <f>IFERROR(IF(D495=_Datum,Prognoseparameter!$C$14,
IF(_WachstumsrateKURZ="Bundesweit",IF(D495&gt;_Datum,
         K494+AVERAGE(F491:F494)*(1+_WR)*(1-(K494-VLOOKUP('Erkrankungs- und Strukturdaten'!$C$45,$D:$M,$K$1,FALSE))/$B$16),
         K496-$B$23*F496),
IF(D495&gt;_Datum,K494+G495,IF(G496="",K496/(K496^(1/N495)),K496-G496)))),"")</f>
        <v>134778.32273227375</v>
      </c>
      <c r="L495" s="64">
        <f>I495/'Erkrankungs- und Strukturdaten'!$C$7</f>
        <v>1397797.8773618187</v>
      </c>
      <c r="M495" s="65">
        <f t="shared" si="53"/>
        <v>4.8717550427896071E-3</v>
      </c>
      <c r="N495" s="163">
        <v>217</v>
      </c>
      <c r="O495" s="222">
        <f t="shared" si="54"/>
        <v>0</v>
      </c>
    </row>
    <row r="496" spans="4:15" x14ac:dyDescent="0.2">
      <c r="D496" s="86">
        <v>44350</v>
      </c>
      <c r="E496" s="64">
        <f t="shared" si="50"/>
        <v>4283.279313692934</v>
      </c>
      <c r="F496" s="101">
        <f>ROUND(IF(_Methodik="Gesamtinf",
AVERAGE(F492:F495)*(1+_WR)*(1-(I495-VLOOKUP('Erkrankungs- und Strukturdaten'!$C$45,$D:$M,$I$1,FALSE))/$B$6),
IF(_Methodik="Neuinf",AVERAGE(F486:F492)*(AVERAGE($F489:$F495)/AVERAGE($F482:$F488))^(1/IF(D496-7&gt;_Datum,1,Prognoseparameter!$T$16)),
(I495)*(1+($B$29*(1-(I495)/$B$6)))-(I495))),4)+0.000001</f>
        <v>3770.6729009999999</v>
      </c>
      <c r="G496" s="140">
        <f>ROUND(IFERROR(IF(_Methodik="Gesamtinf",
AVERAGE(G492:G495)*(1+_WR)*(1-(VLOOKUP(D496-1,$D:$M,$J$1+(_AusgangswertKURZ="Regionaler Ausgangswert"),FALSE)-VLOOKUP('Erkrankungs- und Strukturdaten'!$C$45,$D:$M,$J$1+(_AusgangswertKURZ="Regionaler Ausgangswert"),FALSE))/$B$16),
IF(_Methodik="Neuinf",AVERAGE(G486:G492)*(AVERAGE(G489:G495)/AVERAGE(G482:G488))^(1/IF($D496-7&gt;_Datum,1,Prognoseparameter!$T$16)),
VLOOKUP(D496-1,D:L,$J$1+(_AusgangswertKURZ="Regionaler Ausgangswert"),FALSE)*(1+($B$29*(1-VLOOKUP(D496-1,D:L,$J$1+(_AusgangswertKURZ="Regionaler Ausgangswert"),FALSE)/$B$16)))-VLOOKUP(D496-1,D:L,$J$1+(_AusgangswertKURZ="Regionaler Ausgangswert"),FALSE))),0),4)+0.000001</f>
        <v>9.9999999999999995E-7</v>
      </c>
      <c r="H496" s="64">
        <f>E496/'Erkrankungs- und Strukturdaten'!$C$7</f>
        <v>7787.7805703507884</v>
      </c>
      <c r="I496" s="64">
        <f t="shared" si="51"/>
        <v>772559.5054500004</v>
      </c>
      <c r="J496" s="64">
        <f t="shared" si="52"/>
        <v>4.9999999999999955E-5</v>
      </c>
      <c r="K496" s="101">
        <f>IFERROR(IF(D496=_Datum,Prognoseparameter!$C$14,
IF(_WachstumsrateKURZ="Bundesweit",IF(D496&gt;_Datum,
         K495+AVERAGE(F492:F495)*(1+_WR)*(1-(K495-VLOOKUP('Erkrankungs- und Strukturdaten'!$C$45,$D:$M,$K$1,FALSE))/$B$16),
         K497-$B$23*F497),
IF(D496&gt;_Datum,K495+G496,IF(G497="",K497/(K497^(1/N496)),K497-G497)))),"")</f>
        <v>138304.1052741975</v>
      </c>
      <c r="L496" s="64">
        <f>I496/'Erkrankungs- und Strukturdaten'!$C$7</f>
        <v>1404653.646272728</v>
      </c>
      <c r="M496" s="65">
        <f t="shared" si="53"/>
        <v>4.9046926039468461E-3</v>
      </c>
      <c r="N496" s="163">
        <v>217</v>
      </c>
      <c r="O496" s="222">
        <f t="shared" si="54"/>
        <v>0</v>
      </c>
    </row>
    <row r="497" spans="4:15" x14ac:dyDescent="0.2">
      <c r="D497" s="86">
        <v>44351</v>
      </c>
      <c r="E497" s="64">
        <f t="shared" si="50"/>
        <v>3752.649987904103</v>
      </c>
      <c r="F497" s="101">
        <f>ROUND(IF(_Methodik="Gesamtinf",
AVERAGE(F493:F496)*(1+_WR)*(1-(I496-VLOOKUP('Erkrankungs- und Strukturdaten'!$C$45,$D:$M,$I$1,FALSE))/$B$6),
IF(_Methodik="Neuinf",AVERAGE(F487:F493)*(AVERAGE($F490:$F496)/AVERAGE($F483:$F489))^(1/IF(D497-7&gt;_Datum,1,Prognoseparameter!$T$16)),
(I496)*(1+($B$29*(1-(I496)/$B$6)))-(I496))),4)+0.000001</f>
        <v>3814.4146009999999</v>
      </c>
      <c r="G497" s="140">
        <f>ROUND(IFERROR(IF(_Methodik="Gesamtinf",
AVERAGE(G493:G496)*(1+_WR)*(1-(VLOOKUP(D497-1,$D:$M,$J$1+(_AusgangswertKURZ="Regionaler Ausgangswert"),FALSE)-VLOOKUP('Erkrankungs- und Strukturdaten'!$C$45,$D:$M,$J$1+(_AusgangswertKURZ="Regionaler Ausgangswert"),FALSE))/$B$16),
IF(_Methodik="Neuinf",AVERAGE(G487:G493)*(AVERAGE(G490:G496)/AVERAGE(G483:G489))^(1/IF($D497-7&gt;_Datum,1,Prognoseparameter!$T$16)),
VLOOKUP(D497-1,D:L,$J$1+(_AusgangswertKURZ="Regionaler Ausgangswert"),FALSE)*(1+($B$29*(1-VLOOKUP(D497-1,D:L,$J$1+(_AusgangswertKURZ="Regionaler Ausgangswert"),FALSE)/$B$16)))-VLOOKUP(D497-1,D:L,$J$1+(_AusgangswertKURZ="Regionaler Ausgangswert"),FALSE))),0),4)+0.000001</f>
        <v>9.9999999999999995E-7</v>
      </c>
      <c r="H497" s="64">
        <f>E497/'Erkrankungs- und Strukturdaten'!$C$7</f>
        <v>6822.9999780074595</v>
      </c>
      <c r="I497" s="64">
        <f t="shared" si="51"/>
        <v>776373.92005100043</v>
      </c>
      <c r="J497" s="64">
        <f t="shared" si="52"/>
        <v>5.0999999999999952E-5</v>
      </c>
      <c r="K497" s="101">
        <f>IFERROR(IF(D497=_Datum,Prognoseparameter!$C$14,
IF(_WachstumsrateKURZ="Bundesweit",IF(D497&gt;_Datum,
         K496+AVERAGE(F493:F496)*(1+_WR)*(1-(K496-VLOOKUP('Erkrankungs- und Strukturdaten'!$C$45,$D:$M,$K$1,FALSE))/$B$16),
         K498-$B$23*F498),
IF(D497&gt;_Datum,K496+G497,IF(G498="",K498/(K498^(1/N497)),K498-G498)))),"")</f>
        <v>141866.38573720327</v>
      </c>
      <c r="L497" s="64">
        <f>I497/'Erkrankungs- und Strukturdaten'!$C$7</f>
        <v>1411588.9455472734</v>
      </c>
      <c r="M497" s="65">
        <f t="shared" si="53"/>
        <v>4.9373732043827565E-3</v>
      </c>
      <c r="N497" s="163">
        <v>217</v>
      </c>
      <c r="O497" s="222">
        <f t="shared" si="54"/>
        <v>0</v>
      </c>
    </row>
    <row r="498" spans="4:15" x14ac:dyDescent="0.2">
      <c r="D498" s="86">
        <v>44352</v>
      </c>
      <c r="E498" s="64">
        <f t="shared" si="50"/>
        <v>2819.790443084637</v>
      </c>
      <c r="F498" s="101">
        <f>ROUND(IF(_Methodik="Gesamtinf",
AVERAGE(F494:F497)*(1+_WR)*(1-(I497-VLOOKUP('Erkrankungs- und Strukturdaten'!$C$45,$D:$M,$I$1,FALSE))/$B$6),
IF(_Methodik="Neuinf",AVERAGE(F488:F494)*(AVERAGE($F491:$F497)/AVERAGE($F484:$F490))^(1/IF(D498-7&gt;_Datum,1,Prognoseparameter!$T$16)),
(I497)*(1+($B$29*(1-(I497)/$B$6)))-(I497))),4)+0.000001</f>
        <v>3858.2855009999998</v>
      </c>
      <c r="G498" s="140">
        <f>ROUND(IFERROR(IF(_Methodik="Gesamtinf",
AVERAGE(G494:G497)*(1+_WR)*(1-(VLOOKUP(D498-1,$D:$M,$J$1+(_AusgangswertKURZ="Regionaler Ausgangswert"),FALSE)-VLOOKUP('Erkrankungs- und Strukturdaten'!$C$45,$D:$M,$J$1+(_AusgangswertKURZ="Regionaler Ausgangswert"),FALSE))/$B$16),
IF(_Methodik="Neuinf",AVERAGE(G488:G494)*(AVERAGE(G491:G497)/AVERAGE(G484:G490))^(1/IF($D498-7&gt;_Datum,1,Prognoseparameter!$T$16)),
VLOOKUP(D498-1,D:L,$J$1+(_AusgangswertKURZ="Regionaler Ausgangswert"),FALSE)*(1+($B$29*(1-VLOOKUP(D498-1,D:L,$J$1+(_AusgangswertKURZ="Regionaler Ausgangswert"),FALSE)/$B$16)))-VLOOKUP(D498-1,D:L,$J$1+(_AusgangswertKURZ="Regionaler Ausgangswert"),FALSE))),0),4)+0.000001</f>
        <v>9.9999999999999995E-7</v>
      </c>
      <c r="H498" s="64">
        <f>E498/'Erkrankungs- und Strukturdaten'!$C$7</f>
        <v>5126.8917146993399</v>
      </c>
      <c r="I498" s="64">
        <f t="shared" si="51"/>
        <v>780232.20555200044</v>
      </c>
      <c r="J498" s="64">
        <f t="shared" si="52"/>
        <v>5.1999999999999949E-5</v>
      </c>
      <c r="K498" s="101">
        <f>IFERROR(IF(D498=_Datum,Prognoseparameter!$C$14,
IF(_WachstumsrateKURZ="Bundesweit",IF(D498&gt;_Datum,
         K497+AVERAGE(F494:F497)*(1+_WR)*(1-(K497-VLOOKUP('Erkrankungs- und Strukturdaten'!$C$45,$D:$M,$K$1,FALSE))/$B$16),
         K499-$B$23*F499),
IF(D498&gt;_Datum,K497+G498,IF(G499="",K499/(K499^(1/N498)),K499-G499)))),"")</f>
        <v>145465.64683650204</v>
      </c>
      <c r="L498" s="64">
        <f>I498/'Erkrankungs- und Strukturdaten'!$C$7</f>
        <v>1418604.0100945462</v>
      </c>
      <c r="M498" s="65">
        <f t="shared" si="53"/>
        <v>4.9696227569655518E-3</v>
      </c>
      <c r="N498" s="163">
        <v>217</v>
      </c>
      <c r="O498" s="222">
        <f t="shared" si="54"/>
        <v>0</v>
      </c>
    </row>
    <row r="499" spans="4:15" x14ac:dyDescent="0.2">
      <c r="D499" s="86">
        <v>44353</v>
      </c>
      <c r="E499" s="64">
        <f t="shared" si="50"/>
        <v>2135.1368663662552</v>
      </c>
      <c r="F499" s="101">
        <f>ROUND(IF(_Methodik="Gesamtinf",
AVERAGE(F495:F498)*(1+_WR)*(1-(I498-VLOOKUP('Erkrankungs- und Strukturdaten'!$C$45,$D:$M,$I$1,FALSE))/$B$6),
IF(_Methodik="Neuinf",AVERAGE(F489:F495)*(AVERAGE($F492:$F498)/AVERAGE($F485:$F491))^(1/IF(D499-7&gt;_Datum,1,Prognoseparameter!$T$16)),
(I498)*(1+($B$29*(1-(I498)/$B$6)))-(I498))),4)+0.000001</f>
        <v>3901.9193009999999</v>
      </c>
      <c r="G499" s="140">
        <f>ROUND(IFERROR(IF(_Methodik="Gesamtinf",
AVERAGE(G495:G498)*(1+_WR)*(1-(VLOOKUP(D499-1,$D:$M,$J$1+(_AusgangswertKURZ="Regionaler Ausgangswert"),FALSE)-VLOOKUP('Erkrankungs- und Strukturdaten'!$C$45,$D:$M,$J$1+(_AusgangswertKURZ="Regionaler Ausgangswert"),FALSE))/$B$16),
IF(_Methodik="Neuinf",AVERAGE(G489:G495)*(AVERAGE(G492:G498)/AVERAGE(G485:G491))^(1/IF($D499-7&gt;_Datum,1,Prognoseparameter!$T$16)),
VLOOKUP(D499-1,D:L,$J$1+(_AusgangswertKURZ="Regionaler Ausgangswert"),FALSE)*(1+($B$29*(1-VLOOKUP(D499-1,D:L,$J$1+(_AusgangswertKURZ="Regionaler Ausgangswert"),FALSE)/$B$16)))-VLOOKUP(D499-1,D:L,$J$1+(_AusgangswertKURZ="Regionaler Ausgangswert"),FALSE))),0),4)+0.000001</f>
        <v>9.9999999999999995E-7</v>
      </c>
      <c r="H499" s="64">
        <f>E499/'Erkrankungs- und Strukturdaten'!$C$7</f>
        <v>3882.0670297568272</v>
      </c>
      <c r="I499" s="64">
        <f t="shared" si="51"/>
        <v>784134.12485300039</v>
      </c>
      <c r="J499" s="64">
        <f t="shared" si="52"/>
        <v>5.2999999999999947E-5</v>
      </c>
      <c r="K499" s="101">
        <f>IFERROR(IF(D499=_Datum,Prognoseparameter!$C$14,
IF(_WachstumsrateKURZ="Bundesweit",IF(D499&gt;_Datum,
         K498+AVERAGE(F495:F498)*(1+_WR)*(1-(K498-VLOOKUP('Erkrankungs- und Strukturdaten'!$C$45,$D:$M,$K$1,FALSE))/$B$16),
         K500-$B$23*F500),
IF(D499&gt;_Datum,K498+G499,IF(G500="",K500/(K500^(1/N499)),K500-G500)))),"")</f>
        <v>149102.41436879791</v>
      </c>
      <c r="L499" s="64">
        <f>I499/'Erkrankungs- und Strukturdaten'!$C$7</f>
        <v>1425698.4088236371</v>
      </c>
      <c r="M499" s="65">
        <f t="shared" si="53"/>
        <v>5.0009718558584994E-3</v>
      </c>
      <c r="N499" s="163">
        <v>217</v>
      </c>
      <c r="O499" s="222">
        <f t="shared" si="54"/>
        <v>0</v>
      </c>
    </row>
    <row r="500" spans="4:15" x14ac:dyDescent="0.2">
      <c r="D500" s="86">
        <v>44354</v>
      </c>
      <c r="E500" s="64">
        <f t="shared" si="50"/>
        <v>4785.4604139228304</v>
      </c>
      <c r="F500" s="101">
        <f>ROUND(IF(_Methodik="Gesamtinf",
AVERAGE(F496:F499)*(1+_WR)*(1-(I499-VLOOKUP('Erkrankungs- und Strukturdaten'!$C$45,$D:$M,$I$1,FALSE))/$B$6),
IF(_Methodik="Neuinf",AVERAGE(F490:F496)*(AVERAGE($F493:$F499)/AVERAGE($F486:$F492))^(1/IF(D500-7&gt;_Datum,1,Prognoseparameter!$T$16)),
(I499)*(1+($B$29*(1-(I499)/$B$6)))-(I499))),4)+0.000001</f>
        <v>3946.5604009999997</v>
      </c>
      <c r="G500" s="140">
        <f>ROUND(IFERROR(IF(_Methodik="Gesamtinf",
AVERAGE(G496:G499)*(1+_WR)*(1-(VLOOKUP(D500-1,$D:$M,$J$1+(_AusgangswertKURZ="Regionaler Ausgangswert"),FALSE)-VLOOKUP('Erkrankungs- und Strukturdaten'!$C$45,$D:$M,$J$1+(_AusgangswertKURZ="Regionaler Ausgangswert"),FALSE))/$B$16),
IF(_Methodik="Neuinf",AVERAGE(G490:G496)*(AVERAGE(G493:G499)/AVERAGE(G486:G492))^(1/IF($D500-7&gt;_Datum,1,Prognoseparameter!$T$16)),
VLOOKUP(D500-1,D:L,$J$1+(_AusgangswertKURZ="Regionaler Ausgangswert"),FALSE)*(1+($B$29*(1-VLOOKUP(D500-1,D:L,$J$1+(_AusgangswertKURZ="Regionaler Ausgangswert"),FALSE)/$B$16)))-VLOOKUP(D500-1,D:L,$J$1+(_AusgangswertKURZ="Regionaler Ausgangswert"),FALSE))),0),4)+0.000001</f>
        <v>9.9999999999999995E-7</v>
      </c>
      <c r="H500" s="64">
        <f>E500/'Erkrankungs- und Strukturdaten'!$C$7</f>
        <v>8700.837116223327</v>
      </c>
      <c r="I500" s="64">
        <f t="shared" si="51"/>
        <v>788080.68525400036</v>
      </c>
      <c r="J500" s="64">
        <f t="shared" si="52"/>
        <v>5.3999999999999944E-5</v>
      </c>
      <c r="K500" s="101">
        <f>IFERROR(IF(D500=_Datum,Prognoseparameter!$C$14,
IF(_WachstumsrateKURZ="Bundesweit",IF(D500&gt;_Datum,
         K499+AVERAGE(F496:F499)*(1+_WR)*(1-(K499-VLOOKUP('Erkrankungs- und Strukturdaten'!$C$45,$D:$M,$K$1,FALSE))/$B$16),
         K501-$B$23*F501),
IF(D500&gt;_Datum,K499+G500,IF(G501="",K501/(K501^(1/N500)),K501-G501)))),"")</f>
        <v>152776.81324979689</v>
      </c>
      <c r="L500" s="64">
        <f>I500/'Erkrankungs- und Strukturdaten'!$C$7</f>
        <v>1432873.9731890915</v>
      </c>
      <c r="M500" s="65">
        <f t="shared" si="53"/>
        <v>5.0330170259326717E-3</v>
      </c>
      <c r="N500" s="163">
        <v>217</v>
      </c>
      <c r="O500" s="222">
        <f t="shared" si="54"/>
        <v>0</v>
      </c>
    </row>
    <row r="501" spans="4:15" x14ac:dyDescent="0.2">
      <c r="D501" s="86">
        <v>44355</v>
      </c>
      <c r="E501" s="64">
        <f t="shared" si="50"/>
        <v>4998.0119151861545</v>
      </c>
      <c r="F501" s="101">
        <f>ROUND(IF(_Methodik="Gesamtinf",
AVERAGE(F497:F500)*(1+_WR)*(1-(I500-VLOOKUP('Erkrankungs- und Strukturdaten'!$C$45,$D:$M,$I$1,FALSE))/$B$6),
IF(_Methodik="Neuinf",AVERAGE(F491:F497)*(AVERAGE($F494:$F500)/AVERAGE($F487:$F493))^(1/IF(D501-7&gt;_Datum,1,Prognoseparameter!$T$16)),
(I500)*(1+($B$29*(1-(I500)/$B$6)))-(I500))),4)+0.000001</f>
        <v>3993.1991009999997</v>
      </c>
      <c r="G501" s="140">
        <f>ROUND(IFERROR(IF(_Methodik="Gesamtinf",
AVERAGE(G497:G500)*(1+_WR)*(1-(VLOOKUP(D501-1,$D:$M,$J$1+(_AusgangswertKURZ="Regionaler Ausgangswert"),FALSE)-VLOOKUP('Erkrankungs- und Strukturdaten'!$C$45,$D:$M,$J$1+(_AusgangswertKURZ="Regionaler Ausgangswert"),FALSE))/$B$16),
IF(_Methodik="Neuinf",AVERAGE(G491:G497)*(AVERAGE(G494:G500)/AVERAGE(G487:G493))^(1/IF($D501-7&gt;_Datum,1,Prognoseparameter!$T$16)),
VLOOKUP(D501-1,D:L,$J$1+(_AusgangswertKURZ="Regionaler Ausgangswert"),FALSE)*(1+($B$29*(1-VLOOKUP(D501-1,D:L,$J$1+(_AusgangswertKURZ="Regionaler Ausgangswert"),FALSE)/$B$16)))-VLOOKUP(D501-1,D:L,$J$1+(_AusgangswertKURZ="Regionaler Ausgangswert"),FALSE))),0),4)+0.000001</f>
        <v>9.9999999999999995E-7</v>
      </c>
      <c r="H501" s="64">
        <f>E501/'Erkrankungs- und Strukturdaten'!$C$7</f>
        <v>9087.294391247553</v>
      </c>
      <c r="I501" s="64">
        <f t="shared" si="51"/>
        <v>792073.88435500034</v>
      </c>
      <c r="J501" s="64">
        <f t="shared" si="52"/>
        <v>5.4999999999999941E-5</v>
      </c>
      <c r="K501" s="101">
        <f>IFERROR(IF(D501=_Datum,Prognoseparameter!$C$14,
IF(_WachstumsrateKURZ="Bundesweit",IF(D501&gt;_Datum,
         K500+AVERAGE(F497:F500)*(1+_WR)*(1-(K500-VLOOKUP('Erkrankungs- und Strukturdaten'!$C$45,$D:$M,$K$1,FALSE))/$B$16),
         K502-$B$23*F502),
IF(D501&gt;_Datum,K500+G501,IF(G502="",K502/(K502^(1/N501)),K502-G502)))),"")</f>
        <v>156488.97975053458</v>
      </c>
      <c r="L501" s="64">
        <f>I501/'Erkrankungs- und Strukturdaten'!$C$7</f>
        <v>1440134.3351909097</v>
      </c>
      <c r="M501" s="65">
        <f t="shared" si="53"/>
        <v>5.0669927276709723E-3</v>
      </c>
      <c r="N501" s="163">
        <v>217</v>
      </c>
      <c r="O501" s="222">
        <f t="shared" si="54"/>
        <v>0</v>
      </c>
    </row>
    <row r="502" spans="4:15" x14ac:dyDescent="0.2">
      <c r="D502" s="86">
        <v>44356</v>
      </c>
      <c r="E502" s="64">
        <f t="shared" si="50"/>
        <v>4598.1200864331668</v>
      </c>
      <c r="F502" s="101">
        <f>ROUND(IF(_Methodik="Gesamtinf",
AVERAGE(F498:F501)*(1+_WR)*(1-(I501-VLOOKUP('Erkrankungs- und Strukturdaten'!$C$45,$D:$M,$I$1,FALSE))/$B$6),
IF(_Methodik="Neuinf",AVERAGE(F492:F498)*(AVERAGE($F495:$F501)/AVERAGE($F488:$F494))^(1/IF(D502-7&gt;_Datum,1,Prognoseparameter!$T$16)),
(I501)*(1+($B$29*(1-(I501)/$B$6)))-(I501))),4)+0.000001</f>
        <v>4040.4955009999999</v>
      </c>
      <c r="G502" s="140">
        <f>ROUND(IFERROR(IF(_Methodik="Gesamtinf",
AVERAGE(G498:G501)*(1+_WR)*(1-(VLOOKUP(D502-1,$D:$M,$J$1+(_AusgangswertKURZ="Regionaler Ausgangswert"),FALSE)-VLOOKUP('Erkrankungs- und Strukturdaten'!$C$45,$D:$M,$J$1+(_AusgangswertKURZ="Regionaler Ausgangswert"),FALSE))/$B$16),
IF(_Methodik="Neuinf",AVERAGE(G492:G498)*(AVERAGE(G495:G501)/AVERAGE(G488:G494))^(1/IF($D502-7&gt;_Datum,1,Prognoseparameter!$T$16)),
VLOOKUP(D502-1,D:L,$J$1+(_AusgangswertKURZ="Regionaler Ausgangswert"),FALSE)*(1+($B$29*(1-VLOOKUP(D502-1,D:L,$J$1+(_AusgangswertKURZ="Regionaler Ausgangswert"),FALSE)/$B$16)))-VLOOKUP(D502-1,D:L,$J$1+(_AusgangswertKURZ="Regionaler Ausgangswert"),FALSE))),0),4)+0.000001</f>
        <v>9.9999999999999995E-7</v>
      </c>
      <c r="H502" s="64">
        <f>E502/'Erkrankungs- und Strukturdaten'!$C$7</f>
        <v>8360.2183389693928</v>
      </c>
      <c r="I502" s="64">
        <f t="shared" si="51"/>
        <v>796114.37985600031</v>
      </c>
      <c r="J502" s="64">
        <f t="shared" si="52"/>
        <v>5.5999999999999938E-5</v>
      </c>
      <c r="K502" s="101">
        <f>IFERROR(IF(D502=_Datum,Prognoseparameter!$C$14,
IF(_WachstumsrateKURZ="Bundesweit",IF(D502&gt;_Datum,
         K501+AVERAGE(F498:F501)*(1+_WR)*(1-(K501-VLOOKUP('Erkrankungs- und Strukturdaten'!$C$45,$D:$M,$K$1,FALSE))/$B$16),
         K503-$B$23*F503),
IF(D502&gt;_Datum,K501+G502,IF(G503="",K503/(K503^(1/N502)),K503-G503)))),"")</f>
        <v>160239.46216921631</v>
      </c>
      <c r="L502" s="64">
        <f>I502/'Erkrankungs- und Strukturdaten'!$C$7</f>
        <v>1447480.6906472731</v>
      </c>
      <c r="M502" s="65">
        <f t="shared" si="53"/>
        <v>5.1011598549170886E-3</v>
      </c>
      <c r="N502" s="163">
        <v>217</v>
      </c>
      <c r="O502" s="222">
        <f t="shared" si="54"/>
        <v>0</v>
      </c>
    </row>
    <row r="503" spans="4:15" x14ac:dyDescent="0.2">
      <c r="D503" s="86">
        <v>44357</v>
      </c>
      <c r="E503" s="64">
        <f t="shared" si="50"/>
        <v>4643.266496757703</v>
      </c>
      <c r="F503" s="101">
        <f>ROUND(IF(_Methodik="Gesamtinf",
AVERAGE(F499:F502)*(1+_WR)*(1-(I502-VLOOKUP('Erkrankungs- und Strukturdaten'!$C$45,$D:$M,$I$1,FALSE))/$B$6),
IF(_Methodik="Neuinf",AVERAGE(F493:F499)*(AVERAGE($F496:$F502)/AVERAGE($F489:$F495))^(1/IF(D503-7&gt;_Datum,1,Prognoseparameter!$T$16)),
(I502)*(1+($B$29*(1-(I502)/$B$6)))-(I502))),4)+0.000001</f>
        <v>4087.5782009999998</v>
      </c>
      <c r="G503" s="140">
        <f>ROUND(IFERROR(IF(_Methodik="Gesamtinf",
AVERAGE(G499:G502)*(1+_WR)*(1-(VLOOKUP(D503-1,$D:$M,$J$1+(_AusgangswertKURZ="Regionaler Ausgangswert"),FALSE)-VLOOKUP('Erkrankungs- und Strukturdaten'!$C$45,$D:$M,$J$1+(_AusgangswertKURZ="Regionaler Ausgangswert"),FALSE))/$B$16),
IF(_Methodik="Neuinf",AVERAGE(G493:G499)*(AVERAGE(G496:G502)/AVERAGE(G489:G495))^(1/IF($D503-7&gt;_Datum,1,Prognoseparameter!$T$16)),
VLOOKUP(D503-1,D:L,$J$1+(_AusgangswertKURZ="Regionaler Ausgangswert"),FALSE)*(1+($B$29*(1-VLOOKUP(D503-1,D:L,$J$1+(_AusgangswertKURZ="Regionaler Ausgangswert"),FALSE)/$B$16)))-VLOOKUP(D503-1,D:L,$J$1+(_AusgangswertKURZ="Regionaler Ausgangswert"),FALSE))),0),4)+0.000001</f>
        <v>9.9999999999999995E-7</v>
      </c>
      <c r="H503" s="64">
        <f>E503/'Erkrankungs- und Strukturdaten'!$C$7</f>
        <v>8442.3027213776404</v>
      </c>
      <c r="I503" s="64">
        <f t="shared" si="51"/>
        <v>800201.9580570003</v>
      </c>
      <c r="J503" s="64">
        <f t="shared" si="52"/>
        <v>5.6999999999999935E-5</v>
      </c>
      <c r="K503" s="101">
        <f>IFERROR(IF(D503=_Datum,Prognoseparameter!$C$14,
IF(_WachstumsrateKURZ="Bundesweit",IF(D503&gt;_Datum,
         K502+AVERAGE(F499:F502)*(1+_WR)*(1-(K502-VLOOKUP('Erkrankungs- und Strukturdaten'!$C$45,$D:$M,$K$1,FALSE))/$B$16),
         K504-$B$23*F504),
IF(D503&gt;_Datum,K502+G503,IF(G504="",K504/(K504^(1/N503)),K504-G504)))),"")</f>
        <v>164028.93023531302</v>
      </c>
      <c r="L503" s="64">
        <f>I503/'Erkrankungs- und Strukturdaten'!$C$7</f>
        <v>1454912.6510127278</v>
      </c>
      <c r="M503" s="65">
        <f t="shared" si="53"/>
        <v>5.1344107133692906E-3</v>
      </c>
      <c r="N503" s="163">
        <v>217</v>
      </c>
      <c r="O503" s="222">
        <f t="shared" si="54"/>
        <v>0</v>
      </c>
    </row>
    <row r="504" spans="4:15" x14ac:dyDescent="0.2">
      <c r="D504" s="86">
        <v>44358</v>
      </c>
      <c r="E504" s="64">
        <f t="shared" si="50"/>
        <v>4067.6643871495053</v>
      </c>
      <c r="F504" s="101">
        <f>ROUND(IF(_Methodik="Gesamtinf",
AVERAGE(F500:F503)*(1+_WR)*(1-(I503-VLOOKUP('Erkrankungs- und Strukturdaten'!$C$45,$D:$M,$I$1,FALSE))/$B$6),
IF(_Methodik="Neuinf",AVERAGE(F494:F500)*(AVERAGE($F497:$F503)/AVERAGE($F490:$F496))^(1/IF(D504-7&gt;_Datum,1,Prognoseparameter!$T$16)),
(I503)*(1+($B$29*(1-(I503)/$B$6)))-(I503))),4)+0.000001</f>
        <v>4134.6138010000004</v>
      </c>
      <c r="G504" s="140">
        <f>ROUND(IFERROR(IF(_Methodik="Gesamtinf",
AVERAGE(G500:G503)*(1+_WR)*(1-(VLOOKUP(D504-1,$D:$M,$J$1+(_AusgangswertKURZ="Regionaler Ausgangswert"),FALSE)-VLOOKUP('Erkrankungs- und Strukturdaten'!$C$45,$D:$M,$J$1+(_AusgangswertKURZ="Regionaler Ausgangswert"),FALSE))/$B$16),
IF(_Methodik="Neuinf",AVERAGE(G494:G500)*(AVERAGE(G497:G503)/AVERAGE(G490:G496))^(1/IF($D504-7&gt;_Datum,1,Prognoseparameter!$T$16)),
VLOOKUP(D504-1,D:L,$J$1+(_AusgangswertKURZ="Regionaler Ausgangswert"),FALSE)*(1+($B$29*(1-VLOOKUP(D504-1,D:L,$J$1+(_AusgangswertKURZ="Regionaler Ausgangswert"),FALSE)/$B$16)))-VLOOKUP(D504-1,D:L,$J$1+(_AusgangswertKURZ="Regionaler Ausgangswert"),FALSE))),0),4)+0.000001</f>
        <v>9.9999999999999995E-7</v>
      </c>
      <c r="H504" s="64">
        <f>E504/'Erkrankungs- und Strukturdaten'!$C$7</f>
        <v>7395.7534311809177</v>
      </c>
      <c r="I504" s="64">
        <f t="shared" si="51"/>
        <v>804336.57185800036</v>
      </c>
      <c r="J504" s="64">
        <f t="shared" si="52"/>
        <v>5.7999999999999933E-5</v>
      </c>
      <c r="K504" s="101">
        <f>IFERROR(IF(D504=_Datum,Prognoseparameter!$C$14,
IF(_WachstumsrateKURZ="Bundesweit",IF(D504&gt;_Datum,
         K503+AVERAGE(F500:F503)*(1+_WR)*(1-(K503-VLOOKUP('Erkrankungs- und Strukturdaten'!$C$45,$D:$M,$K$1,FALSE))/$B$16),
         K505-$B$23*F505),
IF(D504&gt;_Datum,K503+G504,IF(G505="",K505/(K505^(1/N504)),K505-G505)))),"")</f>
        <v>167858.05389878</v>
      </c>
      <c r="L504" s="64">
        <f>I504/'Erkrankungs- und Strukturdaten'!$C$7</f>
        <v>1462430.1306509096</v>
      </c>
      <c r="M504" s="65">
        <f t="shared" si="53"/>
        <v>5.1669628640243085E-3</v>
      </c>
      <c r="N504" s="163">
        <v>217</v>
      </c>
      <c r="O504" s="222">
        <f t="shared" si="54"/>
        <v>0</v>
      </c>
    </row>
    <row r="505" spans="4:15" x14ac:dyDescent="0.2">
      <c r="D505" s="86">
        <v>44359</v>
      </c>
      <c r="E505" s="64">
        <f t="shared" si="50"/>
        <v>3056.4028329388266</v>
      </c>
      <c r="F505" s="101">
        <f>ROUND(IF(_Methodik="Gesamtinf",
AVERAGE(F501:F504)*(1+_WR)*(1-(I504-VLOOKUP('Erkrankungs- und Strukturdaten'!$C$45,$D:$M,$I$1,FALSE))/$B$6),
IF(_Methodik="Neuinf",AVERAGE(F495:F501)*(AVERAGE($F498:$F504)/AVERAGE($F491:$F497))^(1/IF(D505-7&gt;_Datum,1,Prognoseparameter!$T$16)),
(I504)*(1+($B$29*(1-(I504)/$B$6)))-(I504))),4)+0.000001</f>
        <v>4182.039401</v>
      </c>
      <c r="G505" s="140">
        <f>ROUND(IFERROR(IF(_Methodik="Gesamtinf",
AVERAGE(G501:G504)*(1+_WR)*(1-(VLOOKUP(D505-1,$D:$M,$J$1+(_AusgangswertKURZ="Regionaler Ausgangswert"),FALSE)-VLOOKUP('Erkrankungs- und Strukturdaten'!$C$45,$D:$M,$J$1+(_AusgangswertKURZ="Regionaler Ausgangswert"),FALSE))/$B$16),
IF(_Methodik="Neuinf",AVERAGE(G495:G501)*(AVERAGE(G498:G504)/AVERAGE(G491:G497))^(1/IF($D505-7&gt;_Datum,1,Prognoseparameter!$T$16)),
VLOOKUP(D505-1,D:L,$J$1+(_AusgangswertKURZ="Regionaler Ausgangswert"),FALSE)*(1+($B$29*(1-VLOOKUP(D505-1,D:L,$J$1+(_AusgangswertKURZ="Regionaler Ausgangswert"),FALSE)/$B$16)))-VLOOKUP(D505-1,D:L,$J$1+(_AusgangswertKURZ="Regionaler Ausgangswert"),FALSE))),0),4)+0.000001</f>
        <v>9.9999999999999995E-7</v>
      </c>
      <c r="H505" s="64">
        <f>E505/'Erkrankungs- und Strukturdaten'!$C$7</f>
        <v>5557.096059888775</v>
      </c>
      <c r="I505" s="64">
        <f t="shared" si="51"/>
        <v>808518.61125900038</v>
      </c>
      <c r="J505" s="64">
        <f t="shared" si="52"/>
        <v>5.899999999999993E-5</v>
      </c>
      <c r="K505" s="101">
        <f>IFERROR(IF(D505=_Datum,Prognoseparameter!$C$14,
IF(_WachstumsrateKURZ="Bundesweit",IF(D505&gt;_Datum,
         K504+AVERAGE(F501:F504)*(1+_WR)*(1-(K504-VLOOKUP('Erkrankungs- und Strukturdaten'!$C$45,$D:$M,$K$1,FALSE))/$B$16),
         K506-$B$23*F506),
IF(D505&gt;_Datum,K504+G505,IF(G506="",K506/(K506^(1/N505)),K506-G506)))),"")</f>
        <v>171727.24666805411</v>
      </c>
      <c r="L505" s="64">
        <f>I505/'Erkrankungs- und Strukturdaten'!$C$7</f>
        <v>1470033.8386527279</v>
      </c>
      <c r="M505" s="65">
        <f t="shared" si="53"/>
        <v>5.1993649764545636E-3</v>
      </c>
      <c r="N505" s="163">
        <v>217</v>
      </c>
      <c r="O505" s="222">
        <f t="shared" si="54"/>
        <v>0</v>
      </c>
    </row>
    <row r="506" spans="4:15" x14ac:dyDescent="0.2">
      <c r="D506" s="86">
        <v>44360</v>
      </c>
      <c r="E506" s="64">
        <f t="shared" si="50"/>
        <v>2314.9222824407721</v>
      </c>
      <c r="F506" s="101">
        <f>ROUND(IF(_Methodik="Gesamtinf",
AVERAGE(F502:F505)*(1+_WR)*(1-(I505-VLOOKUP('Erkrankungs- und Strukturdaten'!$C$45,$D:$M,$I$1,FALSE))/$B$6),
IF(_Methodik="Neuinf",AVERAGE(F496:F502)*(AVERAGE($F499:$F505)/AVERAGE($F492:$F498))^(1/IF(D506-7&gt;_Datum,1,Prognoseparameter!$T$16)),
(I505)*(1+($B$29*(1-(I505)/$B$6)))-(I505))),4)+0.000001</f>
        <v>4230.4735010000004</v>
      </c>
      <c r="G506" s="140">
        <f>ROUND(IFERROR(IF(_Methodik="Gesamtinf",
AVERAGE(G502:G505)*(1+_WR)*(1-(VLOOKUP(D506-1,$D:$M,$J$1+(_AusgangswertKURZ="Regionaler Ausgangswert"),FALSE)-VLOOKUP('Erkrankungs- und Strukturdaten'!$C$45,$D:$M,$J$1+(_AusgangswertKURZ="Regionaler Ausgangswert"),FALSE))/$B$16),
IF(_Methodik="Neuinf",AVERAGE(G496:G502)*(AVERAGE(G499:G505)/AVERAGE(G492:G498))^(1/IF($D506-7&gt;_Datum,1,Prognoseparameter!$T$16)),
VLOOKUP(D506-1,D:L,$J$1+(_AusgangswertKURZ="Regionaler Ausgangswert"),FALSE)*(1+($B$29*(1-VLOOKUP(D506-1,D:L,$J$1+(_AusgangswertKURZ="Regionaler Ausgangswert"),FALSE)/$B$16)))-VLOOKUP(D506-1,D:L,$J$1+(_AusgangswertKURZ="Regionaler Ausgangswert"),FALSE))),0),4)+0.000001</f>
        <v>9.9999999999999995E-7</v>
      </c>
      <c r="H506" s="64">
        <f>E506/'Erkrankungs- und Strukturdaten'!$C$7</f>
        <v>4208.9496044377674</v>
      </c>
      <c r="I506" s="64">
        <f t="shared" si="51"/>
        <v>812749.08476000035</v>
      </c>
      <c r="J506" s="64">
        <f t="shared" si="52"/>
        <v>5.9999999999999927E-5</v>
      </c>
      <c r="K506" s="101">
        <f>IFERROR(IF(D506=_Datum,Prognoseparameter!$C$14,
IF(_WachstumsrateKURZ="Bundesweit",IF(D506&gt;_Datum,
         K505+AVERAGE(F502:F505)*(1+_WR)*(1-(K505-VLOOKUP('Erkrankungs- und Strukturdaten'!$C$45,$D:$M,$K$1,FALSE))/$B$16),
         K507-$B$23*F507),
IF(D506&gt;_Datum,K505+G506,IF(G507="",K507/(K507^(1/N506)),K507-G507)))),"")</f>
        <v>175636.53556669841</v>
      </c>
      <c r="L506" s="64">
        <f>I506/'Erkrankungs- und Strukturdaten'!$C$7</f>
        <v>1477725.6086545459</v>
      </c>
      <c r="M506" s="65">
        <f t="shared" si="53"/>
        <v>5.2323761532371005E-3</v>
      </c>
      <c r="N506" s="163">
        <v>217</v>
      </c>
      <c r="O506" s="222">
        <f t="shared" si="54"/>
        <v>0</v>
      </c>
    </row>
    <row r="507" spans="4:15" x14ac:dyDescent="0.2">
      <c r="D507" s="86">
        <v>44361</v>
      </c>
      <c r="E507" s="64">
        <f t="shared" si="50"/>
        <v>5189.9270611579359</v>
      </c>
      <c r="F507" s="101">
        <f>ROUND(IF(_Methodik="Gesamtinf",
AVERAGE(F503:F506)*(1+_WR)*(1-(I506-VLOOKUP('Erkrankungs- und Strukturdaten'!$C$45,$D:$M,$I$1,FALSE))/$B$6),
IF(_Methodik="Neuinf",AVERAGE(F497:F503)*(AVERAGE($F500:$F506)/AVERAGE($F493:$F499))^(1/IF(D507-7&gt;_Datum,1,Prognoseparameter!$T$16)),
(I506)*(1+($B$29*(1-(I506)/$B$6)))-(I506))),4)+0.000001</f>
        <v>4280.1233010000005</v>
      </c>
      <c r="G507" s="140">
        <f>ROUND(IFERROR(IF(_Methodik="Gesamtinf",
AVERAGE(G503:G506)*(1+_WR)*(1-(VLOOKUP(D507-1,$D:$M,$J$1+(_AusgangswertKURZ="Regionaler Ausgangswert"),FALSE)-VLOOKUP('Erkrankungs- und Strukturdaten'!$C$45,$D:$M,$J$1+(_AusgangswertKURZ="Regionaler Ausgangswert"),FALSE))/$B$16),
IF(_Methodik="Neuinf",AVERAGE(G497:G503)*(AVERAGE(G500:G506)/AVERAGE(G493:G499))^(1/IF($D507-7&gt;_Datum,1,Prognoseparameter!$T$16)),
VLOOKUP(D507-1,D:L,$J$1+(_AusgangswertKURZ="Regionaler Ausgangswert"),FALSE)*(1+($B$29*(1-VLOOKUP(D507-1,D:L,$J$1+(_AusgangswertKURZ="Regionaler Ausgangswert"),FALSE)/$B$16)))-VLOOKUP(D507-1,D:L,$J$1+(_AusgangswertKURZ="Regionaler Ausgangswert"),FALSE))),0),4)+0.000001</f>
        <v>9.9999999999999995E-7</v>
      </c>
      <c r="H507" s="64">
        <f>E507/'Erkrankungs- und Strukturdaten'!$C$7</f>
        <v>9436.2310202871558</v>
      </c>
      <c r="I507" s="64">
        <f t="shared" si="51"/>
        <v>817029.20806100033</v>
      </c>
      <c r="J507" s="64">
        <f t="shared" si="52"/>
        <v>6.0999999999999924E-5</v>
      </c>
      <c r="K507" s="101">
        <f>IFERROR(IF(D507=_Datum,Prognoseparameter!$C$14,
IF(_WachstumsrateKURZ="Bundesweit",IF(D507&gt;_Datum,
         K506+AVERAGE(F503:F506)*(1+_WR)*(1-(K506-VLOOKUP('Erkrankungs- und Strukturdaten'!$C$45,$D:$M,$K$1,FALSE))/$B$16),
         K508-$B$23*F508),
IF(D507&gt;_Datum,K506+G507,IF(G508="",K508/(K508^(1/N507)),K508-G508)))),"")</f>
        <v>179586.02844549526</v>
      </c>
      <c r="L507" s="64">
        <f>I507/'Erkrankungs- und Strukturdaten'!$C$7</f>
        <v>1485507.6510200005</v>
      </c>
      <c r="M507" s="65">
        <f t="shared" si="53"/>
        <v>5.2662296165659518E-3</v>
      </c>
      <c r="N507" s="163">
        <v>217</v>
      </c>
      <c r="O507" s="222">
        <f t="shared" si="54"/>
        <v>0</v>
      </c>
    </row>
    <row r="508" spans="4:15" x14ac:dyDescent="0.2">
      <c r="D508" s="86">
        <v>44362</v>
      </c>
      <c r="E508" s="64">
        <f t="shared" si="50"/>
        <v>5420.1521420628251</v>
      </c>
      <c r="F508" s="101">
        <f>ROUND(IF(_Methodik="Gesamtinf",
AVERAGE(F504:F507)*(1+_WR)*(1-(I507-VLOOKUP('Erkrankungs- und Strukturdaten'!$C$45,$D:$M,$I$1,FALSE))/$B$6),
IF(_Methodik="Neuinf",AVERAGE(F498:F504)*(AVERAGE($F501:$F507)/AVERAGE($F494:$F500))^(1/IF(D508-7&gt;_Datum,1,Prognoseparameter!$T$16)),
(I507)*(1+($B$29*(1-(I507)/$B$6)))-(I507))),4)+0.000001</f>
        <v>4330.4712010000003</v>
      </c>
      <c r="G508" s="140">
        <f>ROUND(IFERROR(IF(_Methodik="Gesamtinf",
AVERAGE(G504:G507)*(1+_WR)*(1-(VLOOKUP(D508-1,$D:$M,$J$1+(_AusgangswertKURZ="Regionaler Ausgangswert"),FALSE)-VLOOKUP('Erkrankungs- und Strukturdaten'!$C$45,$D:$M,$J$1+(_AusgangswertKURZ="Regionaler Ausgangswert"),FALSE))/$B$16),
IF(_Methodik="Neuinf",AVERAGE(G498:G504)*(AVERAGE(G501:G507)/AVERAGE(G494:G500))^(1/IF($D508-7&gt;_Datum,1,Prognoseparameter!$T$16)),
VLOOKUP(D508-1,D:L,$J$1+(_AusgangswertKURZ="Regionaler Ausgangswert"),FALSE)*(1+($B$29*(1-VLOOKUP(D508-1,D:L,$J$1+(_AusgangswertKURZ="Regionaler Ausgangswert"),FALSE)/$B$16)))-VLOOKUP(D508-1,D:L,$J$1+(_AusgangswertKURZ="Regionaler Ausgangswert"),FALSE))),0),4)+0.000001</f>
        <v>9.9999999999999995E-7</v>
      </c>
      <c r="H508" s="64">
        <f>E508/'Erkrankungs- und Strukturdaten'!$C$7</f>
        <v>9854.8220764778634</v>
      </c>
      <c r="I508" s="64">
        <f t="shared" si="51"/>
        <v>821359.67926200037</v>
      </c>
      <c r="J508" s="64">
        <f t="shared" si="52"/>
        <v>6.1999999999999921E-5</v>
      </c>
      <c r="K508" s="101">
        <f>IFERROR(IF(D508=_Datum,Prognoseparameter!$C$14,
IF(_WachstumsrateKURZ="Bundesweit",IF(D508&gt;_Datum,
         K507+AVERAGE(F504:F507)*(1+_WR)*(1-(K507-VLOOKUP('Erkrankungs- und Strukturdaten'!$C$45,$D:$M,$K$1,FALSE))/$B$16),
         K509-$B$23*F509),
IF(D508&gt;_Datum,K507+G508,IF(G509="",K509/(K509^(1/N508)),K509-G509)))),"")</f>
        <v>183576.16920191413</v>
      </c>
      <c r="L508" s="64">
        <f>I508/'Erkrankungs- und Strukturdaten'!$C$7</f>
        <v>1493381.2350218187</v>
      </c>
      <c r="M508" s="65">
        <f t="shared" si="53"/>
        <v>5.3002648599029265E-3</v>
      </c>
      <c r="N508" s="163">
        <v>217</v>
      </c>
      <c r="O508" s="222">
        <f t="shared" si="54"/>
        <v>0</v>
      </c>
    </row>
    <row r="509" spans="4:15" x14ac:dyDescent="0.2">
      <c r="D509" s="86">
        <v>44363</v>
      </c>
      <c r="E509" s="64">
        <f t="shared" si="50"/>
        <v>4985.6495780991791</v>
      </c>
      <c r="F509" s="101">
        <f>ROUND(IF(_Methodik="Gesamtinf",
AVERAGE(F505:F508)*(1+_WR)*(1-(I508-VLOOKUP('Erkrankungs- und Strukturdaten'!$C$45,$D:$M,$I$1,FALSE))/$B$6),
IF(_Methodik="Neuinf",AVERAGE(F499:F505)*(AVERAGE($F502:$F508)/AVERAGE($F495:$F501))^(1/IF(D509-7&gt;_Datum,1,Prognoseparameter!$T$16)),
(I508)*(1+($B$29*(1-(I508)/$B$6)))-(I508))),4)+0.000001</f>
        <v>4381.0284010000005</v>
      </c>
      <c r="G509" s="140">
        <f>ROUND(IFERROR(IF(_Methodik="Gesamtinf",
AVERAGE(G505:G508)*(1+_WR)*(1-(VLOOKUP(D509-1,$D:$M,$J$1+(_AusgangswertKURZ="Regionaler Ausgangswert"),FALSE)-VLOOKUP('Erkrankungs- und Strukturdaten'!$C$45,$D:$M,$J$1+(_AusgangswertKURZ="Regionaler Ausgangswert"),FALSE))/$B$16),
IF(_Methodik="Neuinf",AVERAGE(G499:G505)*(AVERAGE(G502:G508)/AVERAGE(G495:G501))^(1/IF($D509-7&gt;_Datum,1,Prognoseparameter!$T$16)),
VLOOKUP(D509-1,D:L,$J$1+(_AusgangswertKURZ="Regionaler Ausgangswert"),FALSE)*(1+($B$29*(1-VLOOKUP(D509-1,D:L,$J$1+(_AusgangswertKURZ="Regionaler Ausgangswert"),FALSE)/$B$16)))-VLOOKUP(D509-1,D:L,$J$1+(_AusgangswertKURZ="Regionaler Ausgangswert"),FALSE))),0),4)+0.000001</f>
        <v>9.9999999999999995E-7</v>
      </c>
      <c r="H509" s="64">
        <f>E509/'Erkrankungs- und Strukturdaten'!$C$7</f>
        <v>9064.8174147257796</v>
      </c>
      <c r="I509" s="64">
        <f t="shared" si="51"/>
        <v>825740.70766300033</v>
      </c>
      <c r="J509" s="64">
        <f t="shared" si="52"/>
        <v>6.2999999999999919E-5</v>
      </c>
      <c r="K509" s="101">
        <f>IFERROR(IF(D509=_Datum,Prognoseparameter!$C$14,
IF(_WachstumsrateKURZ="Bundesweit",IF(D509&gt;_Datum,
         K508+AVERAGE(F505:F508)*(1+_WR)*(1-(K508-VLOOKUP('Erkrankungs- und Strukturdaten'!$C$45,$D:$M,$K$1,FALSE))/$B$16),
         K510-$B$23*F510),
IF(D509&gt;_Datum,K508+G509,IF(G510="",K510/(K510^(1/N509)),K510-G510)))),"")</f>
        <v>187607.57354552764</v>
      </c>
      <c r="L509" s="64">
        <f>I509/'Erkrankungs- und Strukturdaten'!$C$7</f>
        <v>1501346.741205455</v>
      </c>
      <c r="M509" s="65">
        <f t="shared" si="53"/>
        <v>5.3338732246223193E-3</v>
      </c>
      <c r="N509" s="163">
        <v>217</v>
      </c>
      <c r="O509" s="222">
        <f t="shared" si="54"/>
        <v>0</v>
      </c>
    </row>
    <row r="510" spans="4:15" x14ac:dyDescent="0.2">
      <c r="D510" s="86">
        <v>44364</v>
      </c>
      <c r="E510" s="64">
        <f t="shared" si="50"/>
        <v>5034.5607951030897</v>
      </c>
      <c r="F510" s="101">
        <f>ROUND(IF(_Methodik="Gesamtinf",
AVERAGE(F506:F509)*(1+_WR)*(1-(I509-VLOOKUP('Erkrankungs- und Strukturdaten'!$C$45,$D:$M,$I$1,FALSE))/$B$6),
IF(_Methodik="Neuinf",AVERAGE(F500:F506)*(AVERAGE($F503:$F509)/AVERAGE($F496:$F502))^(1/IF(D510-7&gt;_Datum,1,Prognoseparameter!$T$16)),
(I509)*(1+($B$29*(1-(I509)/$B$6)))-(I509))),4)+0.000001</f>
        <v>4432.043901</v>
      </c>
      <c r="G510" s="140">
        <f>ROUND(IFERROR(IF(_Methodik="Gesamtinf",
AVERAGE(G506:G509)*(1+_WR)*(1-(VLOOKUP(D510-1,$D:$M,$J$1+(_AusgangswertKURZ="Regionaler Ausgangswert"),FALSE)-VLOOKUP('Erkrankungs- und Strukturdaten'!$C$45,$D:$M,$J$1+(_AusgangswertKURZ="Regionaler Ausgangswert"),FALSE))/$B$16),
IF(_Methodik="Neuinf",AVERAGE(G500:G506)*(AVERAGE(G503:G509)/AVERAGE(G496:G502))^(1/IF($D510-7&gt;_Datum,1,Prognoseparameter!$T$16)),
VLOOKUP(D510-1,D:L,$J$1+(_AusgangswertKURZ="Regionaler Ausgangswert"),FALSE)*(1+($B$29*(1-VLOOKUP(D510-1,D:L,$J$1+(_AusgangswertKURZ="Regionaler Ausgangswert"),FALSE)/$B$16)))-VLOOKUP(D510-1,D:L,$J$1+(_AusgangswertKURZ="Regionaler Ausgangswert"),FALSE))),0),4)+0.000001</f>
        <v>9.9999999999999995E-7</v>
      </c>
      <c r="H510" s="64">
        <f>E510/'Erkrankungs- und Strukturdaten'!$C$7</f>
        <v>9153.746900187436</v>
      </c>
      <c r="I510" s="64">
        <f t="shared" si="51"/>
        <v>830172.75156400038</v>
      </c>
      <c r="J510" s="64">
        <f t="shared" si="52"/>
        <v>6.3999999999999916E-5</v>
      </c>
      <c r="K510" s="101">
        <f>IFERROR(IF(D510=_Datum,Prognoseparameter!$C$14,
IF(_WachstumsrateKURZ="Bundesweit",IF(D510&gt;_Datum,
         K509+AVERAGE(F506:F509)*(1+_WR)*(1-(K509-VLOOKUP('Erkrankungs- und Strukturdaten'!$C$45,$D:$M,$K$1,FALSE))/$B$16),
         K511-$B$23*F511),
IF(D510&gt;_Datum,K509+G510,IF(G511="",K511/(K511^(1/N510)),K511-G511)))),"")</f>
        <v>191680.8087956369</v>
      </c>
      <c r="L510" s="64">
        <f>I510/'Erkrankungs- und Strukturdaten'!$C$7</f>
        <v>1509405.002843637</v>
      </c>
      <c r="M510" s="65">
        <f t="shared" si="53"/>
        <v>5.3673554662741086E-3</v>
      </c>
      <c r="N510" s="163">
        <v>217</v>
      </c>
      <c r="O510" s="222">
        <f t="shared" si="54"/>
        <v>0</v>
      </c>
    </row>
    <row r="511" spans="4:15" x14ac:dyDescent="0.2">
      <c r="D511" s="86">
        <v>44365</v>
      </c>
      <c r="E511" s="64">
        <f t="shared" si="50"/>
        <v>4411.2350802795154</v>
      </c>
      <c r="F511" s="101">
        <f>ROUND(IF(_Methodik="Gesamtinf",
AVERAGE(F507:F510)*(1+_WR)*(1-(I510-VLOOKUP('Erkrankungs- und Strukturdaten'!$C$45,$D:$M,$I$1,FALSE))/$B$6),
IF(_Methodik="Neuinf",AVERAGE(F501:F507)*(AVERAGE($F504:$F510)/AVERAGE($F497:$F503))^(1/IF(D511-7&gt;_Datum,1,Prognoseparameter!$T$16)),
(I510)*(1+($B$29*(1-(I510)/$B$6)))-(I510))),4)+0.000001</f>
        <v>4483.839301</v>
      </c>
      <c r="G511" s="140">
        <f>ROUND(IFERROR(IF(_Methodik="Gesamtinf",
AVERAGE(G507:G510)*(1+_WR)*(1-(VLOOKUP(D511-1,$D:$M,$J$1+(_AusgangswertKURZ="Regionaler Ausgangswert"),FALSE)-VLOOKUP('Erkrankungs- und Strukturdaten'!$C$45,$D:$M,$J$1+(_AusgangswertKURZ="Regionaler Ausgangswert"),FALSE))/$B$16),
IF(_Methodik="Neuinf",AVERAGE(G501:G507)*(AVERAGE(G504:G510)/AVERAGE(G497:G503))^(1/IF($D511-7&gt;_Datum,1,Prognoseparameter!$T$16)),
VLOOKUP(D511-1,D:L,$J$1+(_AusgangswertKURZ="Regionaler Ausgangswert"),FALSE)*(1+($B$29*(1-VLOOKUP(D511-1,D:L,$J$1+(_AusgangswertKURZ="Regionaler Ausgangswert"),FALSE)/$B$16)))-VLOOKUP(D511-1,D:L,$J$1+(_AusgangswertKURZ="Regionaler Ausgangswert"),FALSE))),0),4)+0.000001</f>
        <v>9.9999999999999995E-7</v>
      </c>
      <c r="H511" s="64">
        <f>E511/'Erkrankungs- und Strukturdaten'!$C$7</f>
        <v>8020.4274186900275</v>
      </c>
      <c r="I511" s="64">
        <f t="shared" si="51"/>
        <v>834656.59086500038</v>
      </c>
      <c r="J511" s="64">
        <f t="shared" si="52"/>
        <v>6.4999999999999913E-5</v>
      </c>
      <c r="K511" s="101">
        <f>IFERROR(IF(D511=_Datum,Prognoseparameter!$C$14,
IF(_WachstumsrateKURZ="Bundesweit",IF(D511&gt;_Datum,
         K510+AVERAGE(F507:F510)*(1+_WR)*(1-(K510-VLOOKUP('Erkrankungs- und Strukturdaten'!$C$45,$D:$M,$K$1,FALSE))/$B$16),
         K512-$B$23*F512),
IF(D511&gt;_Datum,K510+G511,IF(G512="",K512/(K512^(1/N511)),K512-G512)))),"")</f>
        <v>195796.30679392745</v>
      </c>
      <c r="L511" s="64">
        <f>I511/'Erkrankungs- und Strukturdaten'!$C$7</f>
        <v>1517557.4379363642</v>
      </c>
      <c r="M511" s="65">
        <f t="shared" si="53"/>
        <v>5.4010918722069475E-3</v>
      </c>
      <c r="N511" s="163">
        <v>217</v>
      </c>
      <c r="O511" s="222">
        <f t="shared" si="54"/>
        <v>0</v>
      </c>
    </row>
    <row r="512" spans="4:15" x14ac:dyDescent="0.2">
      <c r="D512" s="86">
        <v>44366</v>
      </c>
      <c r="E512" s="64">
        <f t="shared" si="50"/>
        <v>3315.3742578818392</v>
      </c>
      <c r="F512" s="101">
        <f>ROUND(IF(_Methodik="Gesamtinf",
AVERAGE(F508:F511)*(1+_WR)*(1-(I511-VLOOKUP('Erkrankungs- und Strukturdaten'!$C$45,$D:$M,$I$1,FALSE))/$B$6),
IF(_Methodik="Neuinf",AVERAGE(F502:F508)*(AVERAGE($F505:$F511)/AVERAGE($F498:$F504))^(1/IF(D512-7&gt;_Datum,1,Prognoseparameter!$T$16)),
(I511)*(1+($B$29*(1-(I511)/$B$6)))-(I511))),4)+0.000001</f>
        <v>4536.3869010000008</v>
      </c>
      <c r="G512" s="140">
        <f>ROUND(IFERROR(IF(_Methodik="Gesamtinf",
AVERAGE(G508:G511)*(1+_WR)*(1-(VLOOKUP(D512-1,$D:$M,$J$1+(_AusgangswertKURZ="Regionaler Ausgangswert"),FALSE)-VLOOKUP('Erkrankungs- und Strukturdaten'!$C$45,$D:$M,$J$1+(_AusgangswertKURZ="Regionaler Ausgangswert"),FALSE))/$B$16),
IF(_Methodik="Neuinf",AVERAGE(G502:G508)*(AVERAGE(G505:G511)/AVERAGE(G498:G504))^(1/IF($D512-7&gt;_Datum,1,Prognoseparameter!$T$16)),
VLOOKUP(D512-1,D:L,$J$1+(_AusgangswertKURZ="Regionaler Ausgangswert"),FALSE)*(1+($B$29*(1-VLOOKUP(D512-1,D:L,$J$1+(_AusgangswertKURZ="Regionaler Ausgangswert"),FALSE)/$B$16)))-VLOOKUP(D512-1,D:L,$J$1+(_AusgangswertKURZ="Regionaler Ausgangswert"),FALSE))),0),4)+0.000001</f>
        <v>9.9999999999999995E-7</v>
      </c>
      <c r="H512" s="64">
        <f>E512/'Erkrankungs- und Strukturdaten'!$C$7</f>
        <v>6027.9531961487983</v>
      </c>
      <c r="I512" s="64">
        <f t="shared" si="51"/>
        <v>839192.97776600043</v>
      </c>
      <c r="J512" s="64">
        <f t="shared" si="52"/>
        <v>6.599999999999991E-5</v>
      </c>
      <c r="K512" s="101">
        <f>IFERROR(IF(D512=_Datum,Prognoseparameter!$C$14,
IF(_WachstumsrateKURZ="Bundesweit",IF(D512&gt;_Datum,
         K511+AVERAGE(F508:F511)*(1+_WR)*(1-(K511-VLOOKUP('Erkrankungs- und Strukturdaten'!$C$45,$D:$M,$K$1,FALSE))/$B$16),
         K513-$B$23*F513),
IF(D512&gt;_Datum,K511+G512,IF(G513="",K513/(K513^(1/N512)),K513-G513)))),"")</f>
        <v>199954.39166808379</v>
      </c>
      <c r="L512" s="64">
        <f>I512/'Erkrankungs- und Strukturdaten'!$C$7</f>
        <v>1525805.4141200006</v>
      </c>
      <c r="M512" s="65">
        <f t="shared" si="53"/>
        <v>5.4350339416822224E-3</v>
      </c>
      <c r="N512" s="163">
        <v>217</v>
      </c>
      <c r="O512" s="222">
        <f t="shared" si="54"/>
        <v>0</v>
      </c>
    </row>
    <row r="513" spans="4:15" x14ac:dyDescent="0.2">
      <c r="D513" s="86">
        <v>44367</v>
      </c>
      <c r="E513" s="64">
        <f t="shared" si="50"/>
        <v>2511.4530007122703</v>
      </c>
      <c r="F513" s="101">
        <f>ROUND(IF(_Methodik="Gesamtinf",
AVERAGE(F509:F512)*(1+_WR)*(1-(I512-VLOOKUP('Erkrankungs- und Strukturdaten'!$C$45,$D:$M,$I$1,FALSE))/$B$6),
IF(_Methodik="Neuinf",AVERAGE(F503:F509)*(AVERAGE($F506:$F512)/AVERAGE($F499:$F505))^(1/IF(D513-7&gt;_Datum,1,Prognoseparameter!$T$16)),
(I512)*(1+($B$29*(1-(I512)/$B$6)))-(I512))),4)+0.000001</f>
        <v>4589.6294010000001</v>
      </c>
      <c r="G513" s="140">
        <f>ROUND(IFERROR(IF(_Methodik="Gesamtinf",
AVERAGE(G509:G512)*(1+_WR)*(1-(VLOOKUP(D513-1,$D:$M,$J$1+(_AusgangswertKURZ="Regionaler Ausgangswert"),FALSE)-VLOOKUP('Erkrankungs- und Strukturdaten'!$C$45,$D:$M,$J$1+(_AusgangswertKURZ="Regionaler Ausgangswert"),FALSE))/$B$16),
IF(_Methodik="Neuinf",AVERAGE(G503:G509)*(AVERAGE(G506:G512)/AVERAGE(G499:G505))^(1/IF($D513-7&gt;_Datum,1,Prognoseparameter!$T$16)),
VLOOKUP(D513-1,D:L,$J$1+(_AusgangswertKURZ="Regionaler Ausgangswert"),FALSE)*(1+($B$29*(1-VLOOKUP(D513-1,D:L,$J$1+(_AusgangswertKURZ="Regionaler Ausgangswert"),FALSE)/$B$16)))-VLOOKUP(D513-1,D:L,$J$1+(_AusgangswertKURZ="Regionaler Ausgangswert"),FALSE))),0),4)+0.000001</f>
        <v>9.9999999999999995E-7</v>
      </c>
      <c r="H513" s="64">
        <f>E513/'Erkrankungs- und Strukturdaten'!$C$7</f>
        <v>4566.2781831132188</v>
      </c>
      <c r="I513" s="64">
        <f t="shared" si="51"/>
        <v>843782.60716700042</v>
      </c>
      <c r="J513" s="64">
        <f t="shared" si="52"/>
        <v>6.6999999999999907E-5</v>
      </c>
      <c r="K513" s="101">
        <f>IFERROR(IF(D513=_Datum,Prognoseparameter!$C$14,
IF(_WachstumsrateKURZ="Bundesweit",IF(D513&gt;_Datum,
         K512+AVERAGE(F509:F512)*(1+_WR)*(1-(K512-VLOOKUP('Erkrankungs- und Strukturdaten'!$C$45,$D:$M,$K$1,FALSE))/$B$16),
         K514-$B$23*F514),
IF(D513&gt;_Datum,K512+G513,IF(G514="",K514/(K514^(1/N513)),K514-G514)))),"")</f>
        <v>204155.39586040721</v>
      </c>
      <c r="L513" s="64">
        <f>I513/'Erkrankungs- und Strukturdaten'!$C$7</f>
        <v>1534150.1948490916</v>
      </c>
      <c r="M513" s="65">
        <f t="shared" si="53"/>
        <v>5.4690989112158072E-3</v>
      </c>
      <c r="N513" s="163">
        <v>217</v>
      </c>
      <c r="O513" s="222">
        <f t="shared" si="54"/>
        <v>0</v>
      </c>
    </row>
    <row r="514" spans="4:15" x14ac:dyDescent="0.2">
      <c r="D514" s="86">
        <v>44368</v>
      </c>
      <c r="E514" s="64">
        <f t="shared" si="50"/>
        <v>5630.4500516959806</v>
      </c>
      <c r="F514" s="101">
        <f>ROUND(IF(_Methodik="Gesamtinf",
AVERAGE(F510:F513)*(1+_WR)*(1-(I513-VLOOKUP('Erkrankungs- und Strukturdaten'!$C$45,$D:$M,$I$1,FALSE))/$B$6),
IF(_Methodik="Neuinf",AVERAGE(F504:F510)*(AVERAGE($F507:$F513)/AVERAGE($F500:$F506))^(1/IF(D514-7&gt;_Datum,1,Prognoseparameter!$T$16)),
(I513)*(1+($B$29*(1-(I513)/$B$6)))-(I513))),4)+0.000001</f>
        <v>4643.4218010000004</v>
      </c>
      <c r="G514" s="140">
        <f>ROUND(IFERROR(IF(_Methodik="Gesamtinf",
AVERAGE(G510:G513)*(1+_WR)*(1-(VLOOKUP(D514-1,$D:$M,$J$1+(_AusgangswertKURZ="Regionaler Ausgangswert"),FALSE)-VLOOKUP('Erkrankungs- und Strukturdaten'!$C$45,$D:$M,$J$1+(_AusgangswertKURZ="Regionaler Ausgangswert"),FALSE))/$B$16),
IF(_Methodik="Neuinf",AVERAGE(G504:G510)*(AVERAGE(G507:G513)/AVERAGE(G500:G506))^(1/IF($D514-7&gt;_Datum,1,Prognoseparameter!$T$16)),
VLOOKUP(D514-1,D:L,$J$1+(_AusgangswertKURZ="Regionaler Ausgangswert"),FALSE)*(1+($B$29*(1-VLOOKUP(D514-1,D:L,$J$1+(_AusgangswertKURZ="Regionaler Ausgangswert"),FALSE)/$B$16)))-VLOOKUP(D514-1,D:L,$J$1+(_AusgangswertKURZ="Regionaler Ausgangswert"),FALSE))),0),4)+0.000001</f>
        <v>9.9999999999999995E-7</v>
      </c>
      <c r="H514" s="64">
        <f>E514/'Erkrankungs- und Strukturdaten'!$C$7</f>
        <v>10237.18191217451</v>
      </c>
      <c r="I514" s="64">
        <f t="shared" si="51"/>
        <v>848426.02896800044</v>
      </c>
      <c r="J514" s="64">
        <f t="shared" si="52"/>
        <v>6.7999999999999905E-5</v>
      </c>
      <c r="K514" s="101">
        <f>IFERROR(IF(D514=_Datum,Prognoseparameter!$C$14,
IF(_WachstumsrateKURZ="Bundesweit",IF(D514&gt;_Datum,
         K513+AVERAGE(F510:F513)*(1+_WR)*(1-(K513-VLOOKUP('Erkrankungs- und Strukturdaten'!$C$45,$D:$M,$K$1,FALSE))/$B$16),
         K515-$B$23*F515),
IF(D514&gt;_Datum,K513+G514,IF(G515="",K515/(K515^(1/N514)),K515-G515)))),"")</f>
        <v>208399.76149560596</v>
      </c>
      <c r="L514" s="64">
        <f>I514/'Erkrankungs- und Strukturdaten'!$C$7</f>
        <v>1542592.7799418189</v>
      </c>
      <c r="M514" s="65">
        <f t="shared" si="53"/>
        <v>5.503102056808571E-3</v>
      </c>
      <c r="N514" s="163">
        <v>217</v>
      </c>
      <c r="O514" s="222">
        <f t="shared" si="54"/>
        <v>0</v>
      </c>
    </row>
    <row r="515" spans="4:15" x14ac:dyDescent="0.2">
      <c r="D515" s="86">
        <v>44369</v>
      </c>
      <c r="E515" s="64">
        <f t="shared" si="50"/>
        <v>5879.8604498799923</v>
      </c>
      <c r="F515" s="101">
        <f>ROUND(IF(_Methodik="Gesamtinf",
AVERAGE(F511:F514)*(1+_WR)*(1-(I514-VLOOKUP('Erkrankungs- und Strukturdaten'!$C$45,$D:$M,$I$1,FALSE))/$B$6),
IF(_Methodik="Neuinf",AVERAGE(F505:F511)*(AVERAGE($F508:$F514)/AVERAGE($F501:$F507))^(1/IF(D515-7&gt;_Datum,1,Prognoseparameter!$T$16)),
(I514)*(1+($B$29*(1-(I514)/$B$6)))-(I514))),4)+0.000001</f>
        <v>4697.7586010000005</v>
      </c>
      <c r="G515" s="140">
        <f>ROUND(IFERROR(IF(_Methodik="Gesamtinf",
AVERAGE(G511:G514)*(1+_WR)*(1-(VLOOKUP(D515-1,$D:$M,$J$1+(_AusgangswertKURZ="Regionaler Ausgangswert"),FALSE)-VLOOKUP('Erkrankungs- und Strukturdaten'!$C$45,$D:$M,$J$1+(_AusgangswertKURZ="Regionaler Ausgangswert"),FALSE))/$B$16),
IF(_Methodik="Neuinf",AVERAGE(G505:G511)*(AVERAGE(G508:G514)/AVERAGE(G501:G507))^(1/IF($D515-7&gt;_Datum,1,Prognoseparameter!$T$16)),
VLOOKUP(D515-1,D:L,$J$1+(_AusgangswertKURZ="Regionaler Ausgangswert"),FALSE)*(1+($B$29*(1-VLOOKUP(D515-1,D:L,$J$1+(_AusgangswertKURZ="Regionaler Ausgangswert"),FALSE)/$B$16)))-VLOOKUP(D515-1,D:L,$J$1+(_AusgangswertKURZ="Regionaler Ausgangswert"),FALSE))),0),4)+0.000001</f>
        <v>9.9999999999999995E-7</v>
      </c>
      <c r="H515" s="64">
        <f>E515/'Erkrankungs- und Strukturdaten'!$C$7</f>
        <v>10690.655363418167</v>
      </c>
      <c r="I515" s="64">
        <f t="shared" si="51"/>
        <v>853123.78756900039</v>
      </c>
      <c r="J515" s="64">
        <f t="shared" si="52"/>
        <v>6.8999999999999902E-5</v>
      </c>
      <c r="K515" s="101">
        <f>IFERROR(IF(D515=_Datum,Prognoseparameter!$C$14,
IF(_WachstumsrateKURZ="Bundesweit",IF(D515&gt;_Datum,
         K514+AVERAGE(F511:F514)*(1+_WR)*(1-(K514-VLOOKUP('Erkrankungs- und Strukturdaten'!$C$45,$D:$M,$K$1,FALSE))/$B$16),
         K516-$B$23*F516),
IF(D515&gt;_Datum,K514+G515,IF(G516="",K516/(K516^(1/N515)),K516-G516)))),"")</f>
        <v>212687.9469742181</v>
      </c>
      <c r="L515" s="64">
        <f>I515/'Erkrankungs- und Strukturdaten'!$C$7</f>
        <v>1551134.1592163641</v>
      </c>
      <c r="M515" s="65">
        <f t="shared" si="53"/>
        <v>5.5370279088610246E-3</v>
      </c>
      <c r="N515" s="163">
        <v>217</v>
      </c>
      <c r="O515" s="222">
        <f t="shared" si="54"/>
        <v>0</v>
      </c>
    </row>
    <row r="516" spans="4:15" x14ac:dyDescent="0.2">
      <c r="D516" s="86">
        <v>44370</v>
      </c>
      <c r="E516" s="64">
        <f t="shared" ref="E516:E523" si="55">IF(_AusgangswertKURZ="Bevölkerungsanteil",
$B$26*IF(F516=ROUNDDOWN(F516,0),F516,F516*VLOOKUP(WEEKDAY($D516,1),$A$51:$B$57,$B$1,FALSE)),
$B$17*IF(G516=ROUNDDOWN(G516,0),G516,G516*VLOOKUP(WEEKDAY($D516,1),$A$51:$B$57,$B$1,FALSE)))</f>
        <v>5408.8245830433707</v>
      </c>
      <c r="F516" s="101">
        <f>ROUND(IF(_Methodik="Gesamtinf",
AVERAGE(F512:F515)*(1+_WR)*(1-(I515-VLOOKUP('Erkrankungs- und Strukturdaten'!$C$45,$D:$M,$I$1,FALSE))/$B$6),
IF(_Methodik="Neuinf",AVERAGE(F506:F512)*(AVERAGE($F509:$F515)/AVERAGE($F502:$F508))^(1/IF(D516-7&gt;_Datum,1,Prognoseparameter!$T$16)),
(I515)*(1+($B$29*(1-(I515)/$B$6)))-(I515))),4)+0.000001</f>
        <v>4752.8840010000004</v>
      </c>
      <c r="G516" s="140">
        <f>ROUND(IFERROR(IF(_Methodik="Gesamtinf",
AVERAGE(G512:G515)*(1+_WR)*(1-(VLOOKUP(D516-1,$D:$M,$J$1+(_AusgangswertKURZ="Regionaler Ausgangswert"),FALSE)-VLOOKUP('Erkrankungs- und Strukturdaten'!$C$45,$D:$M,$J$1+(_AusgangswertKURZ="Regionaler Ausgangswert"),FALSE))/$B$16),
IF(_Methodik="Neuinf",AVERAGE(G506:G512)*(AVERAGE(G509:G515)/AVERAGE(G502:G508))^(1/IF($D516-7&gt;_Datum,1,Prognoseparameter!$T$16)),
VLOOKUP(D516-1,D:L,$J$1+(_AusgangswertKURZ="Regionaler Ausgangswert"),FALSE)*(1+($B$29*(1-VLOOKUP(D516-1,D:L,$J$1+(_AusgangswertKURZ="Regionaler Ausgangswert"),FALSE)/$B$16)))-VLOOKUP(D516-1,D:L,$J$1+(_AusgangswertKURZ="Regionaler Ausgangswert"),FALSE))),0),4)+0.000001</f>
        <v>9.9999999999999995E-7</v>
      </c>
      <c r="H516" s="64">
        <f>E516/'Erkrankungs- und Strukturdaten'!$C$7</f>
        <v>9834.2265146243099</v>
      </c>
      <c r="I516" s="64">
        <f t="shared" si="51"/>
        <v>857876.67157000036</v>
      </c>
      <c r="J516" s="64">
        <f t="shared" si="52"/>
        <v>6.9999999999999899E-5</v>
      </c>
      <c r="K516" s="101">
        <f>IFERROR(IF(D516=_Datum,Prognoseparameter!$C$14,
IF(_WachstumsrateKURZ="Bundesweit",IF(D516&gt;_Datum,
         K515+AVERAGE(F512:F515)*(1+_WR)*(1-(K515-VLOOKUP('Erkrankungs- und Strukturdaten'!$C$45,$D:$M,$K$1,FALSE))/$B$16),
         K517-$B$23*F517),
IF(D516&gt;_Datum,K515+G516,IF(G517="",K517/(K517^(1/N516)),K517-G517)))),"")</f>
        <v>217020.350010689</v>
      </c>
      <c r="L516" s="64">
        <f>I516/'Erkrankungs- und Strukturdaten'!$C$7</f>
        <v>1559775.7664909095</v>
      </c>
      <c r="M516" s="65">
        <f t="shared" si="53"/>
        <v>5.5711539992847258E-3</v>
      </c>
      <c r="N516" s="163">
        <v>217</v>
      </c>
      <c r="O516" s="222">
        <f t="shared" si="54"/>
        <v>0</v>
      </c>
    </row>
    <row r="517" spans="4:15" x14ac:dyDescent="0.2">
      <c r="D517" s="86">
        <v>44371</v>
      </c>
      <c r="E517" s="64">
        <f t="shared" si="55"/>
        <v>5462.658822327583</v>
      </c>
      <c r="F517" s="101">
        <f>ROUND(IF(_Methodik="Gesamtinf",
AVERAGE(F513:F516)*(1+_WR)*(1-(I516-VLOOKUP('Erkrankungs- und Strukturdaten'!$C$45,$D:$M,$I$1,FALSE))/$B$6),
IF(_Methodik="Neuinf",AVERAGE(F507:F513)*(AVERAGE($F510:$F516)/AVERAGE($F503:$F509))^(1/IF(D517-7&gt;_Datum,1,Prognoseparameter!$T$16)),
(I516)*(1+($B$29*(1-(I516)/$B$6)))-(I516))),4)+0.000001</f>
        <v>4808.9088010000005</v>
      </c>
      <c r="G517" s="140">
        <f>ROUND(IFERROR(IF(_Methodik="Gesamtinf",
AVERAGE(G513:G516)*(1+_WR)*(1-(VLOOKUP(D517-1,$D:$M,$J$1+(_AusgangswertKURZ="Regionaler Ausgangswert"),FALSE)-VLOOKUP('Erkrankungs- und Strukturdaten'!$C$45,$D:$M,$J$1+(_AusgangswertKURZ="Regionaler Ausgangswert"),FALSE))/$B$16),
IF(_Methodik="Neuinf",AVERAGE(G507:G513)*(AVERAGE(G510:G516)/AVERAGE(G503:G509))^(1/IF($D517-7&gt;_Datum,1,Prognoseparameter!$T$16)),
VLOOKUP(D517-1,D:L,$J$1+(_AusgangswertKURZ="Regionaler Ausgangswert"),FALSE)*(1+($B$29*(1-VLOOKUP(D517-1,D:L,$J$1+(_AusgangswertKURZ="Regionaler Ausgangswert"),FALSE)/$B$16)))-VLOOKUP(D517-1,D:L,$J$1+(_AusgangswertKURZ="Regionaler Ausgangswert"),FALSE))),0),4)+0.000001</f>
        <v>9.9999999999999995E-7</v>
      </c>
      <c r="H517" s="64">
        <f>E517/'Erkrankungs- und Strukturdaten'!$C$7</f>
        <v>9932.106949686513</v>
      </c>
      <c r="I517" s="64">
        <f t="shared" si="51"/>
        <v>862685.58037100034</v>
      </c>
      <c r="J517" s="64">
        <f t="shared" si="52"/>
        <v>7.0999999999999896E-5</v>
      </c>
      <c r="K517" s="101">
        <f>IFERROR(IF(D517=_Datum,Prognoseparameter!$C$14,
IF(_WachstumsrateKURZ="Bundesweit",IF(D517&gt;_Datum,
         K516+AVERAGE(F513:F516)*(1+_WR)*(1-(K516-VLOOKUP('Erkrankungs- und Strukturdaten'!$C$45,$D:$M,$K$1,FALSE))/$B$16),
         K518-$B$23*F518),
IF(D517&gt;_Datum,K516+G517,IF(G518="",K518/(K518^(1/N517)),K518-G518)))),"")</f>
        <v>221397.37164348076</v>
      </c>
      <c r="L517" s="64">
        <f>I517/'Erkrankungs- und Strukturdaten'!$C$7</f>
        <v>1568519.2370381823</v>
      </c>
      <c r="M517" s="65">
        <f t="shared" si="53"/>
        <v>5.6055945573146287E-3</v>
      </c>
      <c r="N517" s="163">
        <v>217</v>
      </c>
      <c r="O517" s="222">
        <f t="shared" si="54"/>
        <v>0</v>
      </c>
    </row>
    <row r="518" spans="4:15" x14ac:dyDescent="0.2">
      <c r="D518" s="86">
        <v>44372</v>
      </c>
      <c r="E518" s="64">
        <f t="shared" si="55"/>
        <v>4786.8995442002833</v>
      </c>
      <c r="F518" s="101">
        <f>ROUND(IF(_Methodik="Gesamtinf",
AVERAGE(F514:F517)*(1+_WR)*(1-(I517-VLOOKUP('Erkrankungs- und Strukturdaten'!$C$45,$D:$M,$I$1,FALSE))/$B$6),
IF(_Methodik="Neuinf",AVERAGE(F508:F514)*(AVERAGE($F511:$F517)/AVERAGE($F504:$F510))^(1/IF(D518-7&gt;_Datum,1,Prognoseparameter!$T$16)),
(I517)*(1+($B$29*(1-(I517)/$B$6)))-(I517))),4)+0.000001</f>
        <v>4865.6868010000007</v>
      </c>
      <c r="G518" s="140">
        <f>ROUND(IFERROR(IF(_Methodik="Gesamtinf",
AVERAGE(G514:G517)*(1+_WR)*(1-(VLOOKUP(D518-1,$D:$M,$J$1+(_AusgangswertKURZ="Regionaler Ausgangswert"),FALSE)-VLOOKUP('Erkrankungs- und Strukturdaten'!$C$45,$D:$M,$J$1+(_AusgangswertKURZ="Regionaler Ausgangswert"),FALSE))/$B$16),
IF(_Methodik="Neuinf",AVERAGE(G508:G514)*(AVERAGE(G511:G517)/AVERAGE(G504:G510))^(1/IF($D518-7&gt;_Datum,1,Prognoseparameter!$T$16)),
VLOOKUP(D518-1,D:L,$J$1+(_AusgangswertKURZ="Regionaler Ausgangswert"),FALSE)*(1+($B$29*(1-VLOOKUP(D518-1,D:L,$J$1+(_AusgangswertKURZ="Regionaler Ausgangswert"),FALSE)/$B$16)))-VLOOKUP(D518-1,D:L,$J$1+(_AusgangswertKURZ="Regionaler Ausgangswert"),FALSE))),0),4)+0.000001</f>
        <v>9.9999999999999995E-7</v>
      </c>
      <c r="H518" s="64">
        <f>E518/'Erkrankungs- und Strukturdaten'!$C$7</f>
        <v>8703.4537167277867</v>
      </c>
      <c r="I518" s="64">
        <f t="shared" ref="I518:I523" si="56">I517+F518</f>
        <v>867551.26717200037</v>
      </c>
      <c r="J518" s="64">
        <f t="shared" si="52"/>
        <v>7.1999999999999893E-5</v>
      </c>
      <c r="K518" s="101">
        <f>IFERROR(IF(D518=_Datum,Prognoseparameter!$C$14,
IF(_WachstumsrateKURZ="Bundesweit",IF(D518&gt;_Datum,
         K517+AVERAGE(F514:F517)*(1+_WR)*(1-(K517-VLOOKUP('Erkrankungs- und Strukturdaten'!$C$45,$D:$M,$K$1,FALSE))/$B$16),
         K519-$B$23*F519),
IF(D518&gt;_Datum,K517+G518,IF(G519="",K519/(K519^(1/N518)),K519-G519)))),"")</f>
        <v>225819.45542880549</v>
      </c>
      <c r="L518" s="64">
        <f>I518/'Erkrankungs- und Strukturdaten'!$C$7</f>
        <v>1577365.9403127278</v>
      </c>
      <c r="M518" s="65">
        <f t="shared" si="53"/>
        <v>5.6401624319575745E-3</v>
      </c>
      <c r="N518" s="163">
        <v>217</v>
      </c>
      <c r="O518" s="222">
        <f t="shared" si="54"/>
        <v>0</v>
      </c>
    </row>
    <row r="519" spans="4:15" x14ac:dyDescent="0.2">
      <c r="D519" s="86">
        <v>44373</v>
      </c>
      <c r="E519" s="64">
        <f t="shared" si="55"/>
        <v>3597.9676099117869</v>
      </c>
      <c r="F519" s="101">
        <f>ROUND(IF(_Methodik="Gesamtinf",
AVERAGE(F515:F518)*(1+_WR)*(1-(I518-VLOOKUP('Erkrankungs- und Strukturdaten'!$C$45,$D:$M,$I$1,FALSE))/$B$6),
IF(_Methodik="Neuinf",AVERAGE(F509:F515)*(AVERAGE($F512:$F518)/AVERAGE($F505:$F511))^(1/IF(D519-7&gt;_Datum,1,Prognoseparameter!$T$16)),
(I518)*(1+($B$29*(1-(I518)/$B$6)))-(I518))),4)+0.000001</f>
        <v>4923.0560009999999</v>
      </c>
      <c r="G519" s="140">
        <f>ROUND(IFERROR(IF(_Methodik="Gesamtinf",
AVERAGE(G515:G518)*(1+_WR)*(1-(VLOOKUP(D519-1,$D:$M,$J$1+(_AusgangswertKURZ="Regionaler Ausgangswert"),FALSE)-VLOOKUP('Erkrankungs- und Strukturdaten'!$C$45,$D:$M,$J$1+(_AusgangswertKURZ="Regionaler Ausgangswert"),FALSE))/$B$16),
IF(_Methodik="Neuinf",AVERAGE(G509:G515)*(AVERAGE(G512:G518)/AVERAGE(G505:G511))^(1/IF($D519-7&gt;_Datum,1,Prognoseparameter!$T$16)),
VLOOKUP(D519-1,D:L,$J$1+(_AusgangswertKURZ="Regionaler Ausgangswert"),FALSE)*(1+($B$29*(1-VLOOKUP(D519-1,D:L,$J$1+(_AusgangswertKURZ="Regionaler Ausgangswert"),FALSE)/$B$16)))-VLOOKUP(D519-1,D:L,$J$1+(_AusgangswertKURZ="Regionaler Ausgangswert"),FALSE))),0),4)+0.000001</f>
        <v>9.9999999999999995E-7</v>
      </c>
      <c r="H519" s="64">
        <f>E519/'Erkrankungs- und Strukturdaten'!$C$7</f>
        <v>6541.7592907487033</v>
      </c>
      <c r="I519" s="64">
        <f t="shared" si="56"/>
        <v>872474.32317300036</v>
      </c>
      <c r="J519" s="64">
        <f t="shared" si="52"/>
        <v>7.2999999999999891E-5</v>
      </c>
      <c r="K519" s="101">
        <f>IFERROR(IF(D519=_Datum,Prognoseparameter!$C$14,
IF(_WachstumsrateKURZ="Bundesweit",IF(D519&gt;_Datum,
         K518+AVERAGE(F515:F518)*(1+_WR)*(1-(K518-VLOOKUP('Erkrankungs- und Strukturdaten'!$C$45,$D:$M,$K$1,FALSE))/$B$16),
         K520-$B$23*F520),
IF(D519&gt;_Datum,K518+G519,IF(G520="",K520/(K520^(1/N519)),K520-G520)))),"")</f>
        <v>230287.08674326167</v>
      </c>
      <c r="L519" s="64">
        <f>I519/'Erkrankungs- und Strukturdaten'!$C$7</f>
        <v>1586316.951223637</v>
      </c>
      <c r="M519" s="65">
        <f t="shared" si="53"/>
        <v>5.6746571497127982E-3</v>
      </c>
      <c r="N519" s="163">
        <v>217</v>
      </c>
      <c r="O519" s="222">
        <f t="shared" si="54"/>
        <v>0</v>
      </c>
    </row>
    <row r="520" spans="4:15" x14ac:dyDescent="0.2">
      <c r="D520" s="86">
        <v>44374</v>
      </c>
      <c r="E520" s="64">
        <f t="shared" si="55"/>
        <v>2725.6243525987661</v>
      </c>
      <c r="F520" s="101">
        <f>ROUND(IF(_Methodik="Gesamtinf",
AVERAGE(F516:F519)*(1+_WR)*(1-(I519-VLOOKUP('Erkrankungs- und Strukturdaten'!$C$45,$D:$M,$I$1,FALSE))/$B$6),
IF(_Methodik="Neuinf",AVERAGE(F510:F516)*(AVERAGE($F513:$F519)/AVERAGE($F506:$F512))^(1/IF(D520-7&gt;_Datum,1,Prognoseparameter!$T$16)),
(I519)*(1+($B$29*(1-(I519)/$B$6)))-(I519))),4)+0.000001</f>
        <v>4981.023201</v>
      </c>
      <c r="G520" s="140">
        <f>ROUND(IFERROR(IF(_Methodik="Gesamtinf",
AVERAGE(G516:G519)*(1+_WR)*(1-(VLOOKUP(D520-1,$D:$M,$J$1+(_AusgangswertKURZ="Regionaler Ausgangswert"),FALSE)-VLOOKUP('Erkrankungs- und Strukturdaten'!$C$45,$D:$M,$J$1+(_AusgangswertKURZ="Regionaler Ausgangswert"),FALSE))/$B$16),
IF(_Methodik="Neuinf",AVERAGE(G510:G516)*(AVERAGE(G513:G519)/AVERAGE(G506:G512))^(1/IF($D520-7&gt;_Datum,1,Prognoseparameter!$T$16)),
VLOOKUP(D520-1,D:L,$J$1+(_AusgangswertKURZ="Regionaler Ausgangswert"),FALSE)*(1+($B$29*(1-VLOOKUP(D520-1,D:L,$J$1+(_AusgangswertKURZ="Regionaler Ausgangswert"),FALSE)/$B$16)))-VLOOKUP(D520-1,D:L,$J$1+(_AusgangswertKURZ="Regionaler Ausgangswert"),FALSE))),0),4)+0.000001</f>
        <v>9.9999999999999995E-7</v>
      </c>
      <c r="H520" s="64">
        <f>E520/'Erkrankungs- und Strukturdaten'!$C$7</f>
        <v>4955.6806410886657</v>
      </c>
      <c r="I520" s="64">
        <f t="shared" si="56"/>
        <v>877455.34637400031</v>
      </c>
      <c r="J520" s="64">
        <f t="shared" si="52"/>
        <v>7.3999999999999888E-5</v>
      </c>
      <c r="K520" s="101">
        <f>IFERROR(IF(D520=_Datum,Prognoseparameter!$C$14,
IF(_WachstumsrateKURZ="Bundesweit",IF(D520&gt;_Datum,
         K519+AVERAGE(F516:F519)*(1+_WR)*(1-(K519-VLOOKUP('Erkrankungs- und Strukturdaten'!$C$45,$D:$M,$K$1,FALSE))/$B$16),
         K521-$B$23*F521),
IF(D520&gt;_Datum,K519+G520,IF(G521="",K521/(K521^(1/N520)),K521-G521)))),"")</f>
        <v>234800.75585303624</v>
      </c>
      <c r="L520" s="64">
        <f>I520/'Erkrankungs- und Strukturdaten'!$C$7</f>
        <v>1595373.3570436367</v>
      </c>
      <c r="M520" s="65">
        <f t="shared" si="53"/>
        <v>5.7090771254849557E-3</v>
      </c>
      <c r="N520" s="163">
        <v>217</v>
      </c>
      <c r="O520" s="222">
        <f t="shared" si="54"/>
        <v>0</v>
      </c>
    </row>
    <row r="521" spans="4:15" x14ac:dyDescent="0.2">
      <c r="D521" s="86">
        <v>44375</v>
      </c>
      <c r="E521" s="64">
        <f t="shared" si="55"/>
        <v>6110.9547004638634</v>
      </c>
      <c r="F521" s="101">
        <f>ROUND(IF(_Methodik="Gesamtinf",
AVERAGE(F517:F520)*(1+_WR)*(1-(I520-VLOOKUP('Erkrankungs- und Strukturdaten'!$C$45,$D:$M,$I$1,FALSE))/$B$6),
IF(_Methodik="Neuinf",AVERAGE(F511:F517)*(AVERAGE($F514:$F520)/AVERAGE($F507:$F513))^(1/IF(D521-7&gt;_Datum,1,Prognoseparameter!$T$16)),
(I520)*(1+($B$29*(1-(I520)/$B$6)))-(I520))),4)+0.000001</f>
        <v>5039.6931010000008</v>
      </c>
      <c r="G521" s="140">
        <f>ROUND(IFERROR(IF(_Methodik="Gesamtinf",
AVERAGE(G517:G520)*(1+_WR)*(1-(VLOOKUP(D521-1,$D:$M,$J$1+(_AusgangswertKURZ="Regionaler Ausgangswert"),FALSE)-VLOOKUP('Erkrankungs- und Strukturdaten'!$C$45,$D:$M,$J$1+(_AusgangswertKURZ="Regionaler Ausgangswert"),FALSE))/$B$16),
IF(_Methodik="Neuinf",AVERAGE(G511:G517)*(AVERAGE(G514:G520)/AVERAGE(G507:G513))^(1/IF($D521-7&gt;_Datum,1,Prognoseparameter!$T$16)),
VLOOKUP(D521-1,D:L,$J$1+(_AusgangswertKURZ="Regionaler Ausgangswert"),FALSE)*(1+($B$29*(1-VLOOKUP(D521-1,D:L,$J$1+(_AusgangswertKURZ="Regionaler Ausgangswert"),FALSE)/$B$16)))-VLOOKUP(D521-1,D:L,$J$1+(_AusgangswertKURZ="Regionaler Ausgangswert"),FALSE))),0),4)+0.000001</f>
        <v>9.9999999999999995E-7</v>
      </c>
      <c r="H521" s="64">
        <f>E521/'Erkrankungs- und Strukturdaten'!$C$7</f>
        <v>11110.826728116115</v>
      </c>
      <c r="I521" s="64">
        <f t="shared" si="56"/>
        <v>882495.03947500035</v>
      </c>
      <c r="J521" s="64">
        <f t="shared" si="52"/>
        <v>7.4999999999999885E-5</v>
      </c>
      <c r="K521" s="101">
        <f>IFERROR(IF(D521=_Datum,Prognoseparameter!$C$14,
IF(_WachstumsrateKURZ="Bundesweit",IF(D521&gt;_Datum,
         K520+AVERAGE(F517:F520)*(1+_WR)*(1-(K520-VLOOKUP('Erkrankungs- und Strukturdaten'!$C$45,$D:$M,$K$1,FALSE))/$B$16),
         K522-$B$23*F522),
IF(D521&gt;_Datum,K520+G521,IF(G522="",K522/(K522^(1/N521)),K522-G522)))),"")</f>
        <v>239360.90245307758</v>
      </c>
      <c r="L521" s="64">
        <f>I521/'Erkrankungs- und Strukturdaten'!$C$7</f>
        <v>1604536.4354090914</v>
      </c>
      <c r="M521" s="65">
        <f t="shared" si="53"/>
        <v>5.7435322741220818E-3</v>
      </c>
      <c r="N521" s="163">
        <v>217</v>
      </c>
      <c r="O521" s="222">
        <f t="shared" si="54"/>
        <v>0</v>
      </c>
    </row>
    <row r="522" spans="4:15" x14ac:dyDescent="0.2">
      <c r="D522" s="86">
        <v>44376</v>
      </c>
      <c r="E522" s="64">
        <f t="shared" si="55"/>
        <v>6382.3078270867991</v>
      </c>
      <c r="F522" s="101">
        <f>ROUND(IF(_Methodik="Gesamtinf",
AVERAGE(F518:F521)*(1+_WR)*(1-(I521-VLOOKUP('Erkrankungs- und Strukturdaten'!$C$45,$D:$M,$I$1,FALSE))/$B$6),
IF(_Methodik="Neuinf",AVERAGE(F512:F518)*(AVERAGE($F515:$F521)/AVERAGE($F508:$F514))^(1/IF(D522-7&gt;_Datum,1,Prognoseparameter!$T$16)),
(I521)*(1+($B$29*(1-(I521)/$B$6)))-(I521))),4)+0.000001</f>
        <v>5099.1927009999999</v>
      </c>
      <c r="G522" s="140">
        <f>ROUND(IFERROR(IF(_Methodik="Gesamtinf",
AVERAGE(G518:G521)*(1+_WR)*(1-(VLOOKUP(D522-1,$D:$M,$J$1+(_AusgangswertKURZ="Regionaler Ausgangswert"),FALSE)-VLOOKUP('Erkrankungs- und Strukturdaten'!$C$45,$D:$M,$J$1+(_AusgangswertKURZ="Regionaler Ausgangswert"),FALSE))/$B$16),
IF(_Methodik="Neuinf",AVERAGE(G512:G518)*(AVERAGE(G515:G521)/AVERAGE(G508:G514))^(1/IF($D522-7&gt;_Datum,1,Prognoseparameter!$T$16)),
VLOOKUP(D522-1,D:L,$J$1+(_AusgangswertKURZ="Regionaler Ausgangswert"),FALSE)*(1+($B$29*(1-VLOOKUP(D522-1,D:L,$J$1+(_AusgangswertKURZ="Regionaler Ausgangswert"),FALSE)/$B$16)))-VLOOKUP(D522-1,D:L,$J$1+(_AusgangswertKURZ="Regionaler Ausgangswert"),FALSE))),0),4)+0.000001</f>
        <v>9.9999999999999995E-7</v>
      </c>
      <c r="H522" s="64">
        <f>E522/'Erkrankungs- und Strukturdaten'!$C$7</f>
        <v>11604.196049248725</v>
      </c>
      <c r="I522" s="64">
        <f t="shared" si="56"/>
        <v>887594.23217600037</v>
      </c>
      <c r="J522" s="64">
        <f t="shared" si="52"/>
        <v>7.5999999999999882E-5</v>
      </c>
      <c r="K522" s="101">
        <f>IFERROR(IF(D522=_Datum,Prognoseparameter!$C$14,
IF(_WachstumsrateKURZ="Bundesweit",IF(D522&gt;_Datum,
         K521+AVERAGE(F518:F521)*(1+_WR)*(1-(K521-VLOOKUP('Erkrankungs- und Strukturdaten'!$C$45,$D:$M,$K$1,FALSE))/$B$16),
         K523-$B$23*F523),
IF(D522&gt;_Datum,K521+G522,IF(G523="",K523/(K523^(1/N522)),K523-G523)))),"")</f>
        <v>243967.91449212196</v>
      </c>
      <c r="L522" s="64">
        <f>I522/'Erkrankungs- und Strukturdaten'!$C$7</f>
        <v>1613807.6948654552</v>
      </c>
      <c r="M522" s="65">
        <f t="shared" si="53"/>
        <v>5.7781545197506728E-3</v>
      </c>
      <c r="N522" s="163">
        <v>217</v>
      </c>
      <c r="O522" s="222">
        <f t="shared" si="54"/>
        <v>0</v>
      </c>
    </row>
    <row r="523" spans="4:15" x14ac:dyDescent="0.2">
      <c r="D523" s="86">
        <v>44377</v>
      </c>
      <c r="E523" s="64">
        <f t="shared" si="55"/>
        <v>5871.630750049344</v>
      </c>
      <c r="F523" s="101">
        <f>ROUND(IF(_Methodik="Gesamtinf",
AVERAGE(F519:F522)*(1+_WR)*(1-(I522-VLOOKUP('Erkrankungs- und Strukturdaten'!$C$45,$D:$M,$I$1,FALSE))/$B$6),
IF(_Methodik="Neuinf",AVERAGE(F513:F519)*(AVERAGE($F516:$F522)/AVERAGE($F509:$F515))^(1/IF(D523-7&gt;_Datum,1,Prognoseparameter!$T$16)),
(I522)*(1+($B$29*(1-(I522)/$B$6)))-(I522))),4)+0.000001</f>
        <v>5159.564601</v>
      </c>
      <c r="G523" s="140">
        <f>ROUND(IFERROR(IF(_Methodik="Gesamtinf",
AVERAGE(G519:G522)*(1+_WR)*(1-(VLOOKUP(D523-1,$D:$M,$J$1+(_AusgangswertKURZ="Regionaler Ausgangswert"),FALSE)-VLOOKUP('Erkrankungs- und Strukturdaten'!$C$45,$D:$M,$J$1+(_AusgangswertKURZ="Regionaler Ausgangswert"),FALSE))/$B$16),
IF(_Methodik="Neuinf",AVERAGE(G513:G519)*(AVERAGE(G516:G522)/AVERAGE(G509:G515))^(1/IF($D523-7&gt;_Datum,1,Prognoseparameter!$T$16)),
VLOOKUP(D523-1,D:L,$J$1+(_AusgangswertKURZ="Regionaler Ausgangswert"),FALSE)*(1+($B$29*(1-VLOOKUP(D523-1,D:L,$J$1+(_AusgangswertKURZ="Regionaler Ausgangswert"),FALSE)/$B$16)))-VLOOKUP(D523-1,D:L,$J$1+(_AusgangswertKURZ="Regionaler Ausgangswert"),FALSE))),0),4)+0.000001</f>
        <v>9.9999999999999995E-7</v>
      </c>
      <c r="H523" s="64">
        <f>E523/'Erkrankungs- und Strukturdaten'!$C$7</f>
        <v>10675.692272816988</v>
      </c>
      <c r="I523" s="64">
        <f t="shared" si="56"/>
        <v>892753.79677700042</v>
      </c>
      <c r="J523" s="64">
        <f t="shared" ref="J523" si="57">J522+G523</f>
        <v>7.6999999999999879E-5</v>
      </c>
      <c r="K523" s="101">
        <f>IFERROR(IF(D523=_Datum,Prognoseparameter!$C$14,
IF(_WachstumsrateKURZ="Bundesweit",IF(D523&gt;_Datum,
         K522+AVERAGE(F519:F522)*(1+_WR)*(1-(K522-VLOOKUP('Erkrankungs- und Strukturdaten'!$C$45,$D:$M,$K$1,FALSE))/$B$16),
         K524-$B$23*F524),
IF(D523&gt;_Datum,K522+G523,IF(G524="",K524/(K524^(1/N523)),K524-G524)))),"")</f>
        <v>248622.19187807836</v>
      </c>
      <c r="L523" s="64">
        <f>I523/'Erkrankungs- und Strukturdaten'!$C$7</f>
        <v>1623188.7214127278</v>
      </c>
      <c r="M523" s="65">
        <f t="shared" ref="M523" si="58">IFERROR((I523-I522)/I522,0)</f>
        <v>5.8129767116118026E-3</v>
      </c>
      <c r="N523" s="163">
        <v>217</v>
      </c>
      <c r="O523" s="222">
        <f t="shared" ref="O523" si="59">IF(F523=ROUNDDOWN(F523,0),1,0)</f>
        <v>0</v>
      </c>
    </row>
  </sheetData>
  <sheetProtection password="8C78" sheet="1" objects="1" scenarios="1"/>
  <mergeCells count="7">
    <mergeCell ref="M2:M3"/>
    <mergeCell ref="D2:D3"/>
    <mergeCell ref="A2:B3"/>
    <mergeCell ref="A21:B22"/>
    <mergeCell ref="F2:H2"/>
    <mergeCell ref="I2:L2"/>
    <mergeCell ref="A10:B11"/>
  </mergeCells>
  <conditionalFormatting sqref="F4:F220">
    <cfRule type="expression" dxfId="23" priority="51">
      <formula>(D4&lt;=_Datum)</formula>
    </cfRule>
  </conditionalFormatting>
  <conditionalFormatting sqref="G4:G220">
    <cfRule type="expression" dxfId="22" priority="36">
      <formula>(D4&lt;=_Datum)</formula>
    </cfRule>
  </conditionalFormatting>
  <conditionalFormatting sqref="E4:E523">
    <cfRule type="expression" dxfId="21" priority="31">
      <formula>(D4&gt;_Datum)</formula>
    </cfRule>
  </conditionalFormatting>
  <conditionalFormatting sqref="F4:F220">
    <cfRule type="expression" dxfId="20" priority="27">
      <formula>(D4&lt;=_Datum)</formula>
    </cfRule>
  </conditionalFormatting>
  <conditionalFormatting sqref="F78:F79">
    <cfRule type="expression" dxfId="19" priority="26">
      <formula>(D78&lt;=_Datum)</formula>
    </cfRule>
  </conditionalFormatting>
  <conditionalFormatting sqref="F5">
    <cfRule type="expression" dxfId="18" priority="25">
      <formula>(D5&lt;=_Datum)</formula>
    </cfRule>
  </conditionalFormatting>
  <conditionalFormatting sqref="F221:F523">
    <cfRule type="expression" dxfId="17" priority="23">
      <formula>(D221&lt;=_Datum)</formula>
    </cfRule>
  </conditionalFormatting>
  <conditionalFormatting sqref="K262:K523">
    <cfRule type="expression" dxfId="16" priority="24">
      <formula>#REF!=1</formula>
    </cfRule>
  </conditionalFormatting>
  <conditionalFormatting sqref="G221:G523">
    <cfRule type="expression" dxfId="15" priority="22">
      <formula>(D221&lt;=_Datum)</formula>
    </cfRule>
  </conditionalFormatting>
  <conditionalFormatting sqref="F221:F523">
    <cfRule type="expression" dxfId="14" priority="20">
      <formula>(D221&lt;=_Datum)</formula>
    </cfRule>
  </conditionalFormatting>
  <conditionalFormatting sqref="K4:K261">
    <cfRule type="expression" dxfId="13" priority="1">
      <formula>#REF!=1</formula>
    </cfRule>
  </conditionalFormatting>
  <pageMargins left="0.7" right="0.7" top="0.78740157499999996" bottom="0.78740157499999996" header="0.3" footer="0.3"/>
  <pageSetup paperSize="9" scale="66"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rgb="FFC00000"/>
    <pageSetUpPr fitToPage="1"/>
  </sheetPr>
  <dimension ref="A1:AG171"/>
  <sheetViews>
    <sheetView showGridLines="0" zoomScale="83" zoomScaleNormal="83" zoomScaleSheetLayoutView="70" zoomScalePageLayoutView="30" workbookViewId="0">
      <pane xSplit="2" ySplit="65" topLeftCell="C66" activePane="bottomRight" state="frozen"/>
      <selection pane="topRight" activeCell="C1" sqref="C1"/>
      <selection pane="bottomLeft" activeCell="A66" sqref="A66"/>
      <selection pane="bottomRight" activeCell="H69" sqref="H69"/>
    </sheetView>
  </sheetViews>
  <sheetFormatPr baseColWidth="10" defaultColWidth="11.42578125" defaultRowHeight="14.25" x14ac:dyDescent="0.2"/>
  <cols>
    <col min="1" max="1" width="1.28515625" style="42" customWidth="1"/>
    <col min="2" max="2" width="4.7109375" style="42" customWidth="1"/>
    <col min="3" max="3" width="22" style="1" customWidth="1"/>
    <col min="4" max="5" width="21" style="1" customWidth="1"/>
    <col min="6" max="6" width="1.85546875" style="25" customWidth="1"/>
    <col min="7" max="7" width="1.28515625" style="1" customWidth="1"/>
    <col min="8" max="11" width="21" style="1" customWidth="1"/>
    <col min="12" max="12" width="1.28515625" style="1" customWidth="1"/>
    <col min="13" max="13" width="1.85546875" style="1" customWidth="1"/>
    <col min="14" max="14" width="1.28515625" style="1" customWidth="1"/>
    <col min="15" max="18" width="21" style="1" customWidth="1"/>
    <col min="19" max="19" width="1.28515625" style="1" customWidth="1"/>
    <col min="20" max="20" width="1.85546875" style="50" customWidth="1"/>
    <col min="21" max="28" width="11.42578125" style="1" customWidth="1"/>
    <col min="29" max="16384" width="11.42578125" style="1"/>
  </cols>
  <sheetData>
    <row r="1" spans="1:33" ht="14.85" customHeight="1" x14ac:dyDescent="0.2">
      <c r="B1" s="384" t="str">
        <f>"Covid-19-Szenario-Rechner für den Strukturbedarf in "&amp;_Krankenhäusern&amp;": Ergebnis"&amp;IF(Prognoseparameter!C19="",""," für "&amp;Prognoseparameter!C19)</f>
        <v>Covid-19-Szenario-Rechner für den Strukturbedarf in Spitälern: Ergebnis</v>
      </c>
      <c r="C1" s="384"/>
      <c r="D1" s="384"/>
      <c r="E1" s="384"/>
      <c r="F1" s="384"/>
      <c r="G1" s="384"/>
      <c r="H1" s="384"/>
      <c r="I1" s="384"/>
      <c r="J1" s="384"/>
      <c r="K1" s="384"/>
      <c r="L1" s="384"/>
      <c r="Q1" s="372" t="s">
        <v>120</v>
      </c>
      <c r="S1" s="50"/>
      <c r="T1" s="1"/>
      <c r="AD1" s="103"/>
      <c r="AE1" s="103"/>
      <c r="AF1" s="103"/>
      <c r="AG1" s="103"/>
    </row>
    <row r="2" spans="1:33" ht="14.85" customHeight="1" x14ac:dyDescent="0.2">
      <c r="B2" s="384"/>
      <c r="C2" s="384"/>
      <c r="D2" s="384"/>
      <c r="E2" s="384"/>
      <c r="F2" s="384"/>
      <c r="G2" s="384"/>
      <c r="H2" s="384"/>
      <c r="I2" s="384"/>
      <c r="J2" s="384"/>
      <c r="K2" s="384"/>
      <c r="L2" s="384"/>
      <c r="Q2" s="372"/>
      <c r="S2" s="50"/>
      <c r="T2" s="1"/>
      <c r="AD2" s="103"/>
      <c r="AE2" s="103"/>
      <c r="AF2" s="103"/>
      <c r="AG2" s="103"/>
    </row>
    <row r="3" spans="1:33" ht="14.85" customHeight="1" x14ac:dyDescent="0.2">
      <c r="B3" s="334">
        <f>'Beschreibung &amp; Aktualisierung'!E22</f>
        <v>44300</v>
      </c>
      <c r="C3" s="334"/>
      <c r="D3" s="58"/>
      <c r="E3" s="58"/>
      <c r="F3" s="58"/>
      <c r="G3" s="58"/>
      <c r="Q3" s="372"/>
      <c r="S3" s="50"/>
      <c r="T3" s="1"/>
      <c r="AD3" s="103"/>
      <c r="AE3" s="103"/>
      <c r="AF3" s="103"/>
      <c r="AG3" s="103"/>
    </row>
    <row r="4" spans="1:33" ht="14.85" customHeight="1" x14ac:dyDescent="0.2">
      <c r="B4" s="75"/>
      <c r="C4" s="75"/>
      <c r="D4" s="75"/>
      <c r="E4" s="75"/>
      <c r="F4" s="75"/>
      <c r="G4" s="75"/>
      <c r="H4" s="75"/>
      <c r="I4" s="75"/>
      <c r="J4" s="75"/>
      <c r="K4" s="75"/>
      <c r="L4" s="46"/>
      <c r="M4" s="46"/>
      <c r="N4" s="46"/>
      <c r="P4" s="110"/>
      <c r="Q4" s="372"/>
      <c r="R4" s="112" t="s">
        <v>51</v>
      </c>
      <c r="S4" s="110"/>
      <c r="T4" s="45"/>
      <c r="AD4" s="103"/>
      <c r="AE4" s="103"/>
      <c r="AF4" s="103"/>
      <c r="AG4" s="103"/>
    </row>
    <row r="5" spans="1:33" ht="8.85" customHeight="1" x14ac:dyDescent="0.2">
      <c r="A5" s="43"/>
      <c r="B5" s="1"/>
      <c r="F5" s="24"/>
      <c r="O5" s="111"/>
      <c r="P5" s="111"/>
      <c r="Q5" s="111"/>
      <c r="R5" s="111"/>
      <c r="S5" s="111"/>
      <c r="T5" s="49"/>
      <c r="AD5" s="103"/>
      <c r="AE5" s="103"/>
      <c r="AF5" s="103"/>
      <c r="AG5" s="103"/>
    </row>
    <row r="6" spans="1:33" ht="7.35" customHeight="1" x14ac:dyDescent="0.2">
      <c r="A6" s="42">
        <v>1</v>
      </c>
      <c r="B6" s="42">
        <v>2</v>
      </c>
      <c r="C6" s="42">
        <v>3</v>
      </c>
      <c r="D6" s="42">
        <v>4</v>
      </c>
      <c r="E6" s="42">
        <v>5</v>
      </c>
      <c r="F6" s="54"/>
      <c r="G6" s="13"/>
      <c r="H6" s="217">
        <v>2</v>
      </c>
      <c r="I6" s="217">
        <v>3</v>
      </c>
      <c r="J6" s="217">
        <v>4</v>
      </c>
      <c r="K6" s="217">
        <v>5</v>
      </c>
      <c r="L6" s="15"/>
      <c r="N6" s="13"/>
      <c r="O6" s="14"/>
      <c r="P6" s="14"/>
      <c r="Q6" s="14"/>
      <c r="R6" s="14"/>
      <c r="S6" s="15"/>
      <c r="AD6" s="103"/>
      <c r="AE6" s="103"/>
      <c r="AF6" s="103"/>
      <c r="AG6" s="103"/>
    </row>
    <row r="7" spans="1:33" ht="32.85" customHeight="1" x14ac:dyDescent="0.2">
      <c r="B7" s="373" t="s">
        <v>227</v>
      </c>
      <c r="C7" s="374"/>
      <c r="D7" s="374"/>
      <c r="E7" s="375"/>
      <c r="F7" s="55"/>
      <c r="G7" s="16"/>
      <c r="H7" s="373" t="s">
        <v>13</v>
      </c>
      <c r="I7" s="374"/>
      <c r="J7" s="374"/>
      <c r="K7" s="375"/>
      <c r="L7" s="17"/>
      <c r="N7" s="16"/>
      <c r="O7" s="373" t="s">
        <v>57</v>
      </c>
      <c r="P7" s="374"/>
      <c r="Q7" s="374"/>
      <c r="R7" s="375"/>
      <c r="S7" s="17"/>
      <c r="T7" s="47"/>
      <c r="AD7" s="103"/>
      <c r="AE7" s="103"/>
      <c r="AF7" s="103"/>
      <c r="AG7" s="103"/>
    </row>
    <row r="8" spans="1:33" ht="17.45" customHeight="1" x14ac:dyDescent="0.2">
      <c r="B8" s="379" t="s">
        <v>0</v>
      </c>
      <c r="C8" s="380"/>
      <c r="D8" s="377" t="s">
        <v>228</v>
      </c>
      <c r="E8" s="377" t="s">
        <v>229</v>
      </c>
      <c r="F8" s="55"/>
      <c r="G8" s="16"/>
      <c r="H8" s="377" t="s">
        <v>23</v>
      </c>
      <c r="I8" s="377" t="s">
        <v>24</v>
      </c>
      <c r="J8" s="377" t="s">
        <v>195</v>
      </c>
      <c r="K8" s="377" t="s">
        <v>20</v>
      </c>
      <c r="L8" s="17"/>
      <c r="N8" s="16"/>
      <c r="O8" s="383" t="s">
        <v>62</v>
      </c>
      <c r="P8" s="383"/>
      <c r="Q8" s="383" t="s">
        <v>63</v>
      </c>
      <c r="R8" s="383"/>
      <c r="S8" s="17"/>
      <c r="T8" s="48"/>
    </row>
    <row r="9" spans="1:33" ht="15" customHeight="1" x14ac:dyDescent="0.2">
      <c r="B9" s="381"/>
      <c r="C9" s="382"/>
      <c r="D9" s="377"/>
      <c r="E9" s="377"/>
      <c r="F9" s="56"/>
      <c r="G9" s="18"/>
      <c r="H9" s="377"/>
      <c r="I9" s="377"/>
      <c r="J9" s="377"/>
      <c r="K9" s="377"/>
      <c r="L9" s="19"/>
      <c r="N9" s="18"/>
      <c r="O9" s="106" t="s">
        <v>15</v>
      </c>
      <c r="P9" s="106" t="s">
        <v>17</v>
      </c>
      <c r="Q9" s="106" t="s">
        <v>15</v>
      </c>
      <c r="R9" s="106" t="s">
        <v>17</v>
      </c>
      <c r="S9" s="19"/>
      <c r="T9" s="48"/>
      <c r="U9" s="42" t="s">
        <v>25</v>
      </c>
      <c r="V9" s="42" t="s">
        <v>26</v>
      </c>
    </row>
    <row r="10" spans="1:33" ht="14.85" hidden="1" customHeight="1" x14ac:dyDescent="0.2">
      <c r="A10" s="42">
        <v>1</v>
      </c>
      <c r="B10" s="378" t="s">
        <v>246</v>
      </c>
      <c r="C10" s="28">
        <f t="shared" ref="C10:C37" si="0">C11-1</f>
        <v>44245</v>
      </c>
      <c r="D10" s="5">
        <f>SUMIF('Fallzahlen (Berechnung)'!D:D,"&lt;="&amp;Prognoseergebnis!C10,'Fallzahlen (Berechnung)'!E:E)-'Fallzahlen (Berechnung)'!$E$1</f>
        <v>545530</v>
      </c>
      <c r="E10" s="116">
        <f>VLOOKUP(C10,'Fallzahlen (Berechnung)'!$D:$E,'Fallzahlen (Berechnung)'!$E$1,FALSE)</f>
        <v>1005</v>
      </c>
      <c r="F10" s="56"/>
      <c r="G10" s="18">
        <v>1</v>
      </c>
      <c r="H10" s="4">
        <f>ROUND('Erkrankungs- und Strukturdaten'!$C$8*D10-IF(G10&gt;'Erkrankungs- und Strukturdaten'!$C$14,VLOOKUP(Prognoseergebnis!G10-ROUNDDOWN('Erkrankungs- und Strukturdaten'!$C$14,0),$A:$D,$D$6,FALSE)*'Erkrankungs- und Strukturdaten'!$C$8,0)
+IF(G10&gt;'Erkrankungs- und Strukturdaten'!$C$15,VLOOKUP(Prognoseergebnis!G10-ROUNDDOWN('Erkrankungs- und Strukturdaten'!$C$15,0),A:D,$D$6,FALSE)*'Erkrankungs- und Strukturdaten'!$C$9,0)
-IF(G10&gt;'Erkrankungs- und Strukturdaten'!$C$15+'Erkrankungs- und Strukturdaten'!$C$16,VLOOKUP(Prognoseergebnis!G10-ROUNDDOWN('Erkrankungs- und Strukturdaten'!$C$15-'Erkrankungs- und Strukturdaten'!$C$16,0),A:D,$D$6,FALSE)*'Erkrankungs- und Strukturdaten'!$C$9,0),0)</f>
        <v>76374</v>
      </c>
      <c r="I10" s="5">
        <f>ROUND('Erkrankungs- und Strukturdaten'!$C$9*D10-IF(G10&gt;'Erkrankungs- und Strukturdaten'!$C$15,VLOOKUP(Prognoseergebnis!G10-'Erkrankungs- und Strukturdaten'!$C$15,$A:$D,$D$6,FALSE)*'Erkrankungs- und Strukturdaten'!$C$9,0),0)</f>
        <v>6110</v>
      </c>
      <c r="J10" s="5">
        <f>I10*'Erkrankungs- und Strukturdaten'!$C$10/'Erkrankungs- und Strukturdaten'!$C$9</f>
        <v>2993.8999999999996</v>
      </c>
      <c r="K10" s="5">
        <f>I10*'Erkrankungs- und Strukturdaten'!$C$21</f>
        <v>122200</v>
      </c>
      <c r="L10" s="11"/>
      <c r="N10" s="9"/>
      <c r="O10" s="5">
        <f>IF(AND(((H10/'Erkrankungs- und Strukturdaten'!$C$25)*'Erkrankungs- und Strukturdaten'!$E$27)+(H10/'Erkrankungs- und Strukturdaten'!$C$26)&lt;1,((H10/'Erkrankungs- und Strukturdaten'!$C$25)*'Erkrankungs- und Strukturdaten'!$E$27)+(H10/'Erkrankungs- und Strukturdaten'!$C$26)&gt;0),1,((H10/'Erkrankungs- und Strukturdaten'!$C$25)*'Erkrankungs- und Strukturdaten'!$E$27)+(H10/'Erkrankungs- und Strukturdaten'!$C$26))</f>
        <v>33095.4</v>
      </c>
      <c r="P10" s="5">
        <f>ROUNDUP(((I10/'Erkrankungs- und Strukturdaten'!$C$28)*'Erkrankungs- und Strukturdaten'!$E$30)+(I10/'Erkrankungs- und Strukturdaten'!$C$29),0)</f>
        <v>6634</v>
      </c>
      <c r="Q10" s="5">
        <f>ROUNDUP((H10/'Erkrankungs- und Strukturdaten'!$C$34*'Erkrankungs- und Strukturdaten'!$E$36)+(H10/'Erkrankungs- und Strukturdaten'!$C$35),0)</f>
        <v>5304</v>
      </c>
      <c r="R10" s="5">
        <f>ROUNDUP((I10*'Erkrankungs- und Strukturdaten'!$C$40/'Erkrankungs- und Strukturdaten'!$C$38*'Erkrankungs- und Strukturdaten'!$E$39)+(I10*(1-'Erkrankungs- und Strukturdaten'!$C$40)/'Erkrankungs- und Strukturdaten'!$C$37*'Erkrankungs- und Strukturdaten'!$E$39),0)</f>
        <v>836</v>
      </c>
      <c r="S10" s="19"/>
      <c r="T10" s="48"/>
      <c r="U10" s="42"/>
      <c r="V10" s="42"/>
    </row>
    <row r="11" spans="1:33" ht="14.85" hidden="1" customHeight="1" x14ac:dyDescent="0.2">
      <c r="A11" s="42">
        <v>2</v>
      </c>
      <c r="B11" s="370"/>
      <c r="C11" s="28">
        <f t="shared" si="0"/>
        <v>44246</v>
      </c>
      <c r="D11" s="6">
        <f>SUMIF('Fallzahlen (Berechnung)'!D:D,"&lt;="&amp;Prognoseergebnis!C11,'Fallzahlen (Berechnung)'!E:E)-'Fallzahlen (Berechnung)'!$E$1</f>
        <v>546625</v>
      </c>
      <c r="E11" s="114">
        <f>VLOOKUP(C11,'Fallzahlen (Berechnung)'!$D:$E,'Fallzahlen (Berechnung)'!$E$1,FALSE)</f>
        <v>1095</v>
      </c>
      <c r="F11" s="56"/>
      <c r="G11" s="18">
        <v>2</v>
      </c>
      <c r="H11" s="6">
        <f>ROUND('Erkrankungs- und Strukturdaten'!$C$8*D11-IF(G11&gt;'Erkrankungs- und Strukturdaten'!$C$14,VLOOKUP(Prognoseergebnis!G11-ROUNDDOWN('Erkrankungs- und Strukturdaten'!$C$14,0),$A:$D,$D$6,FALSE)*'Erkrankungs- und Strukturdaten'!$C$8,0)
+IF(G11&gt;'Erkrankungs- und Strukturdaten'!$C$15,VLOOKUP(Prognoseergebnis!G11-ROUNDDOWN('Erkrankungs- und Strukturdaten'!$C$15,0),A:D,$D$6,FALSE)*'Erkrankungs- und Strukturdaten'!$C$9,0)
-IF(G11&gt;'Erkrankungs- und Strukturdaten'!$C$15+'Erkrankungs- und Strukturdaten'!$C$16,VLOOKUP(Prognoseergebnis!G11-ROUNDDOWN('Erkrankungs- und Strukturdaten'!$C$15-'Erkrankungs- und Strukturdaten'!$C$16,0),A:D,$D$6,FALSE)*'Erkrankungs- und Strukturdaten'!$C$9,0),0)</f>
        <v>76528</v>
      </c>
      <c r="I11" s="6">
        <f>ROUND('Erkrankungs- und Strukturdaten'!$C$9*D11-IF(G11&gt;'Erkrankungs- und Strukturdaten'!$C$15,VLOOKUP(Prognoseergebnis!G11-'Erkrankungs- und Strukturdaten'!$C$15,$A:$D,$D$6,FALSE)*'Erkrankungs- und Strukturdaten'!$C$9,0),0)</f>
        <v>6122</v>
      </c>
      <c r="J11" s="6">
        <f>I11*'Erkrankungs- und Strukturdaten'!$C$10/'Erkrankungs- und Strukturdaten'!$C$9</f>
        <v>2999.78</v>
      </c>
      <c r="K11" s="6">
        <f>I11*'Erkrankungs- und Strukturdaten'!$C$21</f>
        <v>122440</v>
      </c>
      <c r="L11" s="12"/>
      <c r="N11" s="10"/>
      <c r="O11" s="6">
        <f>IF(AND(((H11/'Erkrankungs- und Strukturdaten'!$C$25)*'Erkrankungs- und Strukturdaten'!$E$27)+(H11/'Erkrankungs- und Strukturdaten'!$C$26)&lt;1,((H11/'Erkrankungs- und Strukturdaten'!$C$25)*'Erkrankungs- und Strukturdaten'!$E$27)+(H11/'Erkrankungs- und Strukturdaten'!$C$26)&gt;0),1,((H11/'Erkrankungs- und Strukturdaten'!$C$25)*'Erkrankungs- und Strukturdaten'!$E$27)+(H11/'Erkrankungs- und Strukturdaten'!$C$26))</f>
        <v>33162.133333333331</v>
      </c>
      <c r="P11" s="6">
        <f>ROUNDUP(((I11/'Erkrankungs- und Strukturdaten'!$C$28)*'Erkrankungs- und Strukturdaten'!$E$30)+(I11/'Erkrankungs- und Strukturdaten'!$C$29),0)</f>
        <v>6647</v>
      </c>
      <c r="Q11" s="6">
        <f>ROUNDUP((H11/'Erkrankungs- und Strukturdaten'!$C$34*'Erkrankungs- und Strukturdaten'!$E$36)+(H11/'Erkrankungs- und Strukturdaten'!$C$35),0)</f>
        <v>5315</v>
      </c>
      <c r="R11" s="6">
        <f>ROUNDUP((I11*'Erkrankungs- und Strukturdaten'!$C$40/'Erkrankungs- und Strukturdaten'!$C$38*'Erkrankungs- und Strukturdaten'!$E$39)+(I11*(1-'Erkrankungs- und Strukturdaten'!$C$40)/'Erkrankungs- und Strukturdaten'!$C$37*'Erkrankungs- und Strukturdaten'!$E$39),0)</f>
        <v>837</v>
      </c>
      <c r="S11" s="19"/>
      <c r="T11" s="48"/>
      <c r="U11" s="42"/>
      <c r="V11" s="42"/>
    </row>
    <row r="12" spans="1:33" ht="14.85" hidden="1" customHeight="1" x14ac:dyDescent="0.2">
      <c r="A12" s="42">
        <v>3</v>
      </c>
      <c r="B12" s="370"/>
      <c r="C12" s="28">
        <f t="shared" si="0"/>
        <v>44247</v>
      </c>
      <c r="D12" s="5">
        <f>SUMIF('Fallzahlen (Berechnung)'!D:D,"&lt;="&amp;Prognoseergebnis!C12,'Fallzahlen (Berechnung)'!E:E)-'Fallzahlen (Berechnung)'!$E$1</f>
        <v>547317</v>
      </c>
      <c r="E12" s="115">
        <f>VLOOKUP(C12,'Fallzahlen (Berechnung)'!$D:$E,'Fallzahlen (Berechnung)'!$E$1,FALSE)</f>
        <v>692</v>
      </c>
      <c r="F12" s="56"/>
      <c r="G12" s="18">
        <v>3</v>
      </c>
      <c r="H12" s="5">
        <f>ROUND('Erkrankungs- und Strukturdaten'!$C$8*D12-IF(G12&gt;'Erkrankungs- und Strukturdaten'!$C$14,VLOOKUP(Prognoseergebnis!G12-ROUNDDOWN('Erkrankungs- und Strukturdaten'!$C$14,0),$A:$D,$D$6,FALSE)*'Erkrankungs- und Strukturdaten'!$C$8,0)
+IF(G12&gt;'Erkrankungs- und Strukturdaten'!$C$15,VLOOKUP(Prognoseergebnis!G12-ROUNDDOWN('Erkrankungs- und Strukturdaten'!$C$15,0),A:D,$D$6,FALSE)*'Erkrankungs- und Strukturdaten'!$C$9,0)
-IF(G12&gt;'Erkrankungs- und Strukturdaten'!$C$15+'Erkrankungs- und Strukturdaten'!$C$16,VLOOKUP(Prognoseergebnis!G12-ROUNDDOWN('Erkrankungs- und Strukturdaten'!$C$15-'Erkrankungs- und Strukturdaten'!$C$16,0),A:D,$D$6,FALSE)*'Erkrankungs- und Strukturdaten'!$C$9,0),0)</f>
        <v>76624</v>
      </c>
      <c r="I12" s="5">
        <f>ROUND('Erkrankungs- und Strukturdaten'!$C$9*D12-IF(G12&gt;'Erkrankungs- und Strukturdaten'!$C$15,VLOOKUP(Prognoseergebnis!G12-'Erkrankungs- und Strukturdaten'!$C$15,$A:$D,$D$6,FALSE)*'Erkrankungs- und Strukturdaten'!$C$9,0),0)</f>
        <v>6130</v>
      </c>
      <c r="J12" s="5">
        <f>I12*'Erkrankungs- und Strukturdaten'!$C$10/'Erkrankungs- und Strukturdaten'!$C$9</f>
        <v>3003.7</v>
      </c>
      <c r="K12" s="5">
        <f>I12*'Erkrankungs- und Strukturdaten'!$C$21</f>
        <v>122600</v>
      </c>
      <c r="L12" s="11"/>
      <c r="N12" s="9"/>
      <c r="O12" s="5">
        <f>IF(AND(((H12/'Erkrankungs- und Strukturdaten'!$C$25)*'Erkrankungs- und Strukturdaten'!$E$27)+(H12/'Erkrankungs- und Strukturdaten'!$C$26)&lt;1,((H12/'Erkrankungs- und Strukturdaten'!$C$25)*'Erkrankungs- und Strukturdaten'!$E$27)+(H12/'Erkrankungs- und Strukturdaten'!$C$26)&gt;0),1,((H12/'Erkrankungs- und Strukturdaten'!$C$25)*'Erkrankungs- und Strukturdaten'!$E$27)+(H12/'Erkrankungs- und Strukturdaten'!$C$26))</f>
        <v>33203.73333333333</v>
      </c>
      <c r="P12" s="5">
        <f>ROUNDUP(((I12/'Erkrankungs- und Strukturdaten'!$C$28)*'Erkrankungs- und Strukturdaten'!$E$30)+(I12/'Erkrankungs- und Strukturdaten'!$C$29),0)</f>
        <v>6656</v>
      </c>
      <c r="Q12" s="5">
        <f>ROUNDUP((H12/'Erkrankungs- und Strukturdaten'!$C$34*'Erkrankungs- und Strukturdaten'!$E$36)+(H12/'Erkrankungs- und Strukturdaten'!$C$35),0)</f>
        <v>5322</v>
      </c>
      <c r="R12" s="5">
        <f>ROUNDUP((I12*'Erkrankungs- und Strukturdaten'!$C$40/'Erkrankungs- und Strukturdaten'!$C$38*'Erkrankungs- und Strukturdaten'!$E$39)+(I12*(1-'Erkrankungs- und Strukturdaten'!$C$40)/'Erkrankungs- und Strukturdaten'!$C$37*'Erkrankungs- und Strukturdaten'!$E$39),0)</f>
        <v>838</v>
      </c>
      <c r="S12" s="19"/>
      <c r="T12" s="48"/>
      <c r="U12" s="42"/>
      <c r="V12" s="42"/>
    </row>
    <row r="13" spans="1:33" ht="14.85" hidden="1" customHeight="1" x14ac:dyDescent="0.2">
      <c r="A13" s="42">
        <v>4</v>
      </c>
      <c r="B13" s="370"/>
      <c r="C13" s="28">
        <f t="shared" si="0"/>
        <v>44248</v>
      </c>
      <c r="D13" s="6">
        <f>SUMIF('Fallzahlen (Berechnung)'!D:D,"&lt;="&amp;Prognoseergebnis!C13,'Fallzahlen (Berechnung)'!E:E)-'Fallzahlen (Berechnung)'!$E$1</f>
        <v>547842</v>
      </c>
      <c r="E13" s="114">
        <f>VLOOKUP(C13,'Fallzahlen (Berechnung)'!$D:$E,'Fallzahlen (Berechnung)'!$E$1,FALSE)</f>
        <v>525</v>
      </c>
      <c r="F13" s="56"/>
      <c r="G13" s="18">
        <v>4</v>
      </c>
      <c r="H13" s="6">
        <f>ROUND('Erkrankungs- und Strukturdaten'!$C$8*D13-IF(G13&gt;'Erkrankungs- und Strukturdaten'!$C$14,VLOOKUP(Prognoseergebnis!G13-ROUNDDOWN('Erkrankungs- und Strukturdaten'!$C$14,0),$A:$D,$D$6,FALSE)*'Erkrankungs- und Strukturdaten'!$C$8,0)
+IF(G13&gt;'Erkrankungs- und Strukturdaten'!$C$15,VLOOKUP(Prognoseergebnis!G13-ROUNDDOWN('Erkrankungs- und Strukturdaten'!$C$15,0),A:D,$D$6,FALSE)*'Erkrankungs- und Strukturdaten'!$C$9,0)
-IF(G13&gt;'Erkrankungs- und Strukturdaten'!$C$15+'Erkrankungs- und Strukturdaten'!$C$16,VLOOKUP(Prognoseergebnis!G13-ROUNDDOWN('Erkrankungs- und Strukturdaten'!$C$15-'Erkrankungs- und Strukturdaten'!$C$16,0),A:D,$D$6,FALSE)*'Erkrankungs- und Strukturdaten'!$C$9,0),0)</f>
        <v>76698</v>
      </c>
      <c r="I13" s="6">
        <f>ROUND('Erkrankungs- und Strukturdaten'!$C$9*D13-IF(G13&gt;'Erkrankungs- und Strukturdaten'!$C$15,VLOOKUP(Prognoseergebnis!G13-'Erkrankungs- und Strukturdaten'!$C$15,$A:$D,$D$6,FALSE)*'Erkrankungs- und Strukturdaten'!$C$9,0),0)</f>
        <v>6136</v>
      </c>
      <c r="J13" s="6">
        <f>I13*'Erkrankungs- und Strukturdaten'!$C$10/'Erkrankungs- und Strukturdaten'!$C$9</f>
        <v>3006.64</v>
      </c>
      <c r="K13" s="6">
        <f>I13*'Erkrankungs- und Strukturdaten'!$C$21</f>
        <v>122720</v>
      </c>
      <c r="L13" s="11"/>
      <c r="N13" s="9"/>
      <c r="O13" s="6">
        <f>IF(AND(((H13/'Erkrankungs- und Strukturdaten'!$C$25)*'Erkrankungs- und Strukturdaten'!$E$27)+(H13/'Erkrankungs- und Strukturdaten'!$C$26)&lt;1,((H13/'Erkrankungs- und Strukturdaten'!$C$25)*'Erkrankungs- und Strukturdaten'!$E$27)+(H13/'Erkrankungs- und Strukturdaten'!$C$26)&gt;0),1,((H13/'Erkrankungs- und Strukturdaten'!$C$25)*'Erkrankungs- und Strukturdaten'!$E$27)+(H13/'Erkrankungs- und Strukturdaten'!$C$26))</f>
        <v>33235.800000000003</v>
      </c>
      <c r="P13" s="6">
        <f>ROUNDUP(((I13/'Erkrankungs- und Strukturdaten'!$C$28)*'Erkrankungs- und Strukturdaten'!$E$30)+(I13/'Erkrankungs- und Strukturdaten'!$C$29),0)</f>
        <v>6662</v>
      </c>
      <c r="Q13" s="6">
        <f>ROUNDUP((H13/'Erkrankungs- und Strukturdaten'!$C$34*'Erkrankungs- und Strukturdaten'!$E$36)+(H13/'Erkrankungs- und Strukturdaten'!$C$35),0)</f>
        <v>5327</v>
      </c>
      <c r="R13" s="6">
        <f>ROUNDUP((I13*'Erkrankungs- und Strukturdaten'!$C$40/'Erkrankungs- und Strukturdaten'!$C$38*'Erkrankungs- und Strukturdaten'!$E$39)+(I13*(1-'Erkrankungs- und Strukturdaten'!$C$40)/'Erkrankungs- und Strukturdaten'!$C$37*'Erkrankungs- und Strukturdaten'!$E$39),0)</f>
        <v>839</v>
      </c>
      <c r="S13" s="19"/>
      <c r="T13" s="48"/>
      <c r="U13" s="42"/>
      <c r="V13" s="42"/>
    </row>
    <row r="14" spans="1:33" ht="14.85" hidden="1" customHeight="1" x14ac:dyDescent="0.2">
      <c r="A14" s="42">
        <v>5</v>
      </c>
      <c r="B14" s="370"/>
      <c r="C14" s="28">
        <f t="shared" si="0"/>
        <v>44249</v>
      </c>
      <c r="D14" s="5">
        <f>SUMIF('Fallzahlen (Berechnung)'!D:D,"&lt;="&amp;Prognoseergebnis!C14,'Fallzahlen (Berechnung)'!E:E)-'Fallzahlen (Berechnung)'!$E$1</f>
        <v>549251</v>
      </c>
      <c r="E14" s="115">
        <f>VLOOKUP(C14,'Fallzahlen (Berechnung)'!$D:$E,'Fallzahlen (Berechnung)'!$E$1,FALSE)</f>
        <v>1409</v>
      </c>
      <c r="F14" s="56"/>
      <c r="G14" s="18">
        <v>5</v>
      </c>
      <c r="H14" s="5">
        <f>ROUND('Erkrankungs- und Strukturdaten'!$C$8*D14-IF(G14&gt;'Erkrankungs- und Strukturdaten'!$C$14,VLOOKUP(Prognoseergebnis!G14-ROUNDDOWN('Erkrankungs- und Strukturdaten'!$C$14,0),$A:$D,$D$6,FALSE)*'Erkrankungs- und Strukturdaten'!$C$8,0)
+IF(G14&gt;'Erkrankungs- und Strukturdaten'!$C$15,VLOOKUP(Prognoseergebnis!G14-ROUNDDOWN('Erkrankungs- und Strukturdaten'!$C$15,0),A:D,$D$6,FALSE)*'Erkrankungs- und Strukturdaten'!$C$9,0)
-IF(G14&gt;'Erkrankungs- und Strukturdaten'!$C$15+'Erkrankungs- und Strukturdaten'!$C$16,VLOOKUP(Prognoseergebnis!G14-ROUNDDOWN('Erkrankungs- und Strukturdaten'!$C$15-'Erkrankungs- und Strukturdaten'!$C$16,0),A:D,$D$6,FALSE)*'Erkrankungs- und Strukturdaten'!$C$9,0),0)</f>
        <v>76895</v>
      </c>
      <c r="I14" s="5">
        <f>ROUND('Erkrankungs- und Strukturdaten'!$C$9*D14-IF(G14&gt;'Erkrankungs- und Strukturdaten'!$C$15,VLOOKUP(Prognoseergebnis!G14-'Erkrankungs- und Strukturdaten'!$C$15,$A:$D,$D$6,FALSE)*'Erkrankungs- und Strukturdaten'!$C$9,0),0)</f>
        <v>6152</v>
      </c>
      <c r="J14" s="5">
        <f>I14*'Erkrankungs- und Strukturdaten'!$C$10/'Erkrankungs- und Strukturdaten'!$C$9</f>
        <v>3014.48</v>
      </c>
      <c r="K14" s="5">
        <f>I14*'Erkrankungs- und Strukturdaten'!$C$21</f>
        <v>123040</v>
      </c>
      <c r="L14" s="11"/>
      <c r="N14" s="9"/>
      <c r="O14" s="5">
        <f>IF(AND(((H14/'Erkrankungs- und Strukturdaten'!$C$25)*'Erkrankungs- und Strukturdaten'!$E$27)+(H14/'Erkrankungs- und Strukturdaten'!$C$26)&lt;1,((H14/'Erkrankungs- und Strukturdaten'!$C$25)*'Erkrankungs- und Strukturdaten'!$E$27)+(H14/'Erkrankungs- und Strukturdaten'!$C$26)&gt;0),1,((H14/'Erkrankungs- und Strukturdaten'!$C$25)*'Erkrankungs- und Strukturdaten'!$E$27)+(H14/'Erkrankungs- und Strukturdaten'!$C$26))</f>
        <v>33321.166666666672</v>
      </c>
      <c r="P14" s="5">
        <f>ROUNDUP(((I14/'Erkrankungs- und Strukturdaten'!$C$28)*'Erkrankungs- und Strukturdaten'!$E$30)+(I14/'Erkrankungs- und Strukturdaten'!$C$29),0)</f>
        <v>6680</v>
      </c>
      <c r="Q14" s="5">
        <f>ROUNDUP((H14/'Erkrankungs- und Strukturdaten'!$C$34*'Erkrankungs- und Strukturdaten'!$E$36)+(H14/'Erkrankungs- und Strukturdaten'!$C$35),0)</f>
        <v>5340</v>
      </c>
      <c r="R14" s="5">
        <f>ROUNDUP((I14*'Erkrankungs- und Strukturdaten'!$C$40/'Erkrankungs- und Strukturdaten'!$C$38*'Erkrankungs- und Strukturdaten'!$E$39)+(I14*(1-'Erkrankungs- und Strukturdaten'!$C$40)/'Erkrankungs- und Strukturdaten'!$C$37*'Erkrankungs- und Strukturdaten'!$E$39),0)</f>
        <v>841</v>
      </c>
      <c r="S14" s="19"/>
      <c r="T14" s="48"/>
      <c r="U14" s="42"/>
      <c r="V14" s="42"/>
    </row>
    <row r="15" spans="1:33" ht="14.85" hidden="1" customHeight="1" x14ac:dyDescent="0.2">
      <c r="A15" s="42">
        <v>6</v>
      </c>
      <c r="B15" s="370"/>
      <c r="C15" s="28">
        <f t="shared" si="0"/>
        <v>44250</v>
      </c>
      <c r="D15" s="6">
        <f>SUMIF('Fallzahlen (Berechnung)'!D:D,"&lt;="&amp;Prognoseergebnis!C15,'Fallzahlen (Berechnung)'!E:E)-'Fallzahlen (Berechnung)'!$E$1</f>
        <v>550510</v>
      </c>
      <c r="E15" s="114">
        <f>VLOOKUP(C15,'Fallzahlen (Berechnung)'!$D:$E,'Fallzahlen (Berechnung)'!$E$1,FALSE)</f>
        <v>1259</v>
      </c>
      <c r="F15" s="56"/>
      <c r="G15" s="18">
        <v>6</v>
      </c>
      <c r="H15" s="6">
        <f>ROUND('Erkrankungs- und Strukturdaten'!$C$8*D15-IF(G15&gt;'Erkrankungs- und Strukturdaten'!$C$14,VLOOKUP(Prognoseergebnis!G15-ROUNDDOWN('Erkrankungs- und Strukturdaten'!$C$14,0),$A:$D,$D$6,FALSE)*'Erkrankungs- und Strukturdaten'!$C$8,0)
+IF(G15&gt;'Erkrankungs- und Strukturdaten'!$C$15,VLOOKUP(Prognoseergebnis!G15-ROUNDDOWN('Erkrankungs- und Strukturdaten'!$C$15,0),A:D,$D$6,FALSE)*'Erkrankungs- und Strukturdaten'!$C$9,0)
-IF(G15&gt;'Erkrankungs- und Strukturdaten'!$C$15+'Erkrankungs- und Strukturdaten'!$C$16,VLOOKUP(Prognoseergebnis!G15-ROUNDDOWN('Erkrankungs- und Strukturdaten'!$C$15-'Erkrankungs- und Strukturdaten'!$C$16,0),A:D,$D$6,FALSE)*'Erkrankungs- und Strukturdaten'!$C$9,0),0)</f>
        <v>77071</v>
      </c>
      <c r="I15" s="6">
        <f>ROUND('Erkrankungs- und Strukturdaten'!$C$9*D15-IF(G15&gt;'Erkrankungs- und Strukturdaten'!$C$15,VLOOKUP(Prognoseergebnis!G15-'Erkrankungs- und Strukturdaten'!$C$15,$A:$D,$D$6,FALSE)*'Erkrankungs- und Strukturdaten'!$C$9,0),0)</f>
        <v>6166</v>
      </c>
      <c r="J15" s="6">
        <f>I15*'Erkrankungs- und Strukturdaten'!$C$10/'Erkrankungs- und Strukturdaten'!$C$9</f>
        <v>3021.34</v>
      </c>
      <c r="K15" s="6">
        <f>I15*'Erkrankungs- und Strukturdaten'!$C$21</f>
        <v>123320</v>
      </c>
      <c r="L15" s="11"/>
      <c r="N15" s="9"/>
      <c r="O15" s="6">
        <f>IF(AND(((H15/'Erkrankungs- und Strukturdaten'!$C$25)*'Erkrankungs- und Strukturdaten'!$E$27)+(H15/'Erkrankungs- und Strukturdaten'!$C$26)&lt;1,((H15/'Erkrankungs- und Strukturdaten'!$C$25)*'Erkrankungs- und Strukturdaten'!$E$27)+(H15/'Erkrankungs- und Strukturdaten'!$C$26)&gt;0),1,((H15/'Erkrankungs- und Strukturdaten'!$C$25)*'Erkrankungs- und Strukturdaten'!$E$27)+(H15/'Erkrankungs- und Strukturdaten'!$C$26))</f>
        <v>33397.433333333334</v>
      </c>
      <c r="P15" s="6">
        <f>ROUNDUP(((I15/'Erkrankungs- und Strukturdaten'!$C$28)*'Erkrankungs- und Strukturdaten'!$E$30)+(I15/'Erkrankungs- und Strukturdaten'!$C$29),0)</f>
        <v>6695</v>
      </c>
      <c r="Q15" s="6">
        <f>ROUNDUP((H15/'Erkrankungs- und Strukturdaten'!$C$34*'Erkrankungs- und Strukturdaten'!$E$36)+(H15/'Erkrankungs- und Strukturdaten'!$C$35),0)</f>
        <v>5353</v>
      </c>
      <c r="R15" s="6">
        <f>ROUNDUP((I15*'Erkrankungs- und Strukturdaten'!$C$40/'Erkrankungs- und Strukturdaten'!$C$38*'Erkrankungs- und Strukturdaten'!$E$39)+(I15*(1-'Erkrankungs- und Strukturdaten'!$C$40)/'Erkrankungs- und Strukturdaten'!$C$37*'Erkrankungs- und Strukturdaten'!$E$39),0)</f>
        <v>843</v>
      </c>
      <c r="S15" s="19"/>
      <c r="T15" s="48"/>
      <c r="U15" s="42"/>
      <c r="V15" s="42"/>
    </row>
    <row r="16" spans="1:33" ht="14.85" hidden="1" customHeight="1" x14ac:dyDescent="0.2">
      <c r="A16" s="42">
        <v>7</v>
      </c>
      <c r="B16" s="370"/>
      <c r="C16" s="28">
        <f t="shared" si="0"/>
        <v>44251</v>
      </c>
      <c r="D16" s="5">
        <f>SUMIF('Fallzahlen (Berechnung)'!D:D,"&lt;="&amp;Prognoseergebnis!C16,'Fallzahlen (Berechnung)'!E:E)-'Fallzahlen (Berechnung)'!$E$1</f>
        <v>551586</v>
      </c>
      <c r="E16" s="117">
        <f>VLOOKUP(C16,'Fallzahlen (Berechnung)'!$D:$E,'Fallzahlen (Berechnung)'!$E$1,FALSE)</f>
        <v>1076</v>
      </c>
      <c r="F16" s="56"/>
      <c r="G16" s="18">
        <v>7</v>
      </c>
      <c r="H16" s="5">
        <f>ROUND('Erkrankungs- und Strukturdaten'!$C$8*D16-IF(G16&gt;'Erkrankungs- und Strukturdaten'!$C$14,VLOOKUP(Prognoseergebnis!G16-ROUNDDOWN('Erkrankungs- und Strukturdaten'!$C$14,0),$A:$D,$D$6,FALSE)*'Erkrankungs- und Strukturdaten'!$C$8,0)
+IF(G16&gt;'Erkrankungs- und Strukturdaten'!$C$15,VLOOKUP(Prognoseergebnis!G16-ROUNDDOWN('Erkrankungs- und Strukturdaten'!$C$15,0),A:D,$D$6,FALSE)*'Erkrankungs- und Strukturdaten'!$C$9,0)
-IF(G16&gt;'Erkrankungs- und Strukturdaten'!$C$15+'Erkrankungs- und Strukturdaten'!$C$16,VLOOKUP(Prognoseergebnis!G16-ROUNDDOWN('Erkrankungs- und Strukturdaten'!$C$15-'Erkrankungs- und Strukturdaten'!$C$16,0),A:D,$D$6,FALSE)*'Erkrankungs- und Strukturdaten'!$C$9,0),0)</f>
        <v>77222</v>
      </c>
      <c r="I16" s="5">
        <f>ROUND('Erkrankungs- und Strukturdaten'!$C$9*D16-IF(G16&gt;'Erkrankungs- und Strukturdaten'!$C$15,VLOOKUP(Prognoseergebnis!G16-'Erkrankungs- und Strukturdaten'!$C$15,$A:$D,$D$6,FALSE)*'Erkrankungs- und Strukturdaten'!$C$9,0),0)</f>
        <v>6178</v>
      </c>
      <c r="J16" s="5">
        <f>I16*'Erkrankungs- und Strukturdaten'!$C$10/'Erkrankungs- und Strukturdaten'!$C$9</f>
        <v>3027.22</v>
      </c>
      <c r="K16" s="5">
        <f>I16*'Erkrankungs- und Strukturdaten'!$C$21</f>
        <v>123560</v>
      </c>
      <c r="L16" s="11"/>
      <c r="N16" s="9"/>
      <c r="O16" s="5">
        <f>IF(AND(((H16/'Erkrankungs- und Strukturdaten'!$C$25)*'Erkrankungs- und Strukturdaten'!$E$27)+(H16/'Erkrankungs- und Strukturdaten'!$C$26)&lt;1,((H16/'Erkrankungs- und Strukturdaten'!$C$25)*'Erkrankungs- und Strukturdaten'!$E$27)+(H16/'Erkrankungs- und Strukturdaten'!$C$26)&gt;0),1,((H16/'Erkrankungs- und Strukturdaten'!$C$25)*'Erkrankungs- und Strukturdaten'!$E$27)+(H16/'Erkrankungs- und Strukturdaten'!$C$26))</f>
        <v>33462.866666666669</v>
      </c>
      <c r="P16" s="5">
        <f>ROUNDUP(((I16/'Erkrankungs- und Strukturdaten'!$C$28)*'Erkrankungs- und Strukturdaten'!$E$30)+(I16/'Erkrankungs- und Strukturdaten'!$C$29),0)</f>
        <v>6708</v>
      </c>
      <c r="Q16" s="5">
        <f>ROUNDUP((H16/'Erkrankungs- und Strukturdaten'!$C$34*'Erkrankungs- und Strukturdaten'!$E$36)+(H16/'Erkrankungs- und Strukturdaten'!$C$35),0)</f>
        <v>5363</v>
      </c>
      <c r="R16" s="5">
        <f>ROUNDUP((I16*'Erkrankungs- und Strukturdaten'!$C$40/'Erkrankungs- und Strukturdaten'!$C$38*'Erkrankungs- und Strukturdaten'!$E$39)+(I16*(1-'Erkrankungs- und Strukturdaten'!$C$40)/'Erkrankungs- und Strukturdaten'!$C$37*'Erkrankungs- und Strukturdaten'!$E$39),0)</f>
        <v>845</v>
      </c>
      <c r="S16" s="19"/>
      <c r="T16" s="48"/>
      <c r="U16" s="42"/>
      <c r="V16" s="42"/>
    </row>
    <row r="17" spans="1:22" ht="14.85" hidden="1" customHeight="1" x14ac:dyDescent="0.2">
      <c r="A17" s="42">
        <v>8</v>
      </c>
      <c r="B17" s="376" t="s">
        <v>245</v>
      </c>
      <c r="C17" s="28">
        <f t="shared" si="0"/>
        <v>44252</v>
      </c>
      <c r="D17" s="6">
        <f>SUMIF('Fallzahlen (Berechnung)'!D:D,"&lt;="&amp;Prognoseergebnis!C17,'Fallzahlen (Berechnung)'!E:E)-'Fallzahlen (Berechnung)'!$E$1</f>
        <v>552707</v>
      </c>
      <c r="E17" s="118">
        <f>VLOOKUP(C17,'Fallzahlen (Berechnung)'!$D:$E,'Fallzahlen (Berechnung)'!$E$1,FALSE)</f>
        <v>1121</v>
      </c>
      <c r="F17" s="56"/>
      <c r="G17" s="18">
        <v>8</v>
      </c>
      <c r="H17" s="6">
        <f>ROUND('Erkrankungs- und Strukturdaten'!$C$8*D17-IF(G17&gt;'Erkrankungs- und Strukturdaten'!$C$14,VLOOKUP(Prognoseergebnis!G17-ROUNDDOWN('Erkrankungs- und Strukturdaten'!$C$14,0),$A:$D,$D$6,FALSE)*'Erkrankungs- und Strukturdaten'!$C$8,0)
+IF(G17&gt;'Erkrankungs- und Strukturdaten'!$C$15,VLOOKUP(Prognoseergebnis!G17-ROUNDDOWN('Erkrankungs- und Strukturdaten'!$C$15,0),A:D,$D$6,FALSE)*'Erkrankungs- und Strukturdaten'!$C$9,0)
-IF(G17&gt;'Erkrankungs- und Strukturdaten'!$C$15+'Erkrankungs- und Strukturdaten'!$C$16,VLOOKUP(Prognoseergebnis!G17-ROUNDDOWN('Erkrankungs- und Strukturdaten'!$C$15-'Erkrankungs- und Strukturdaten'!$C$16,0),A:D,$D$6,FALSE)*'Erkrankungs- und Strukturdaten'!$C$9,0),0)</f>
        <v>77378</v>
      </c>
      <c r="I17" s="6">
        <f>ROUND('Erkrankungs- und Strukturdaten'!$C$9*D17-IF(G17&gt;'Erkrankungs- und Strukturdaten'!$C$15,VLOOKUP(Prognoseergebnis!G17-'Erkrankungs- und Strukturdaten'!$C$15,$A:$D,$D$6,FALSE)*'Erkrankungs- und Strukturdaten'!$C$9,0),0)</f>
        <v>6190</v>
      </c>
      <c r="J17" s="6">
        <f>I17*'Erkrankungs- und Strukturdaten'!$C$10/'Erkrankungs- und Strukturdaten'!$C$9</f>
        <v>3033.1000000000004</v>
      </c>
      <c r="K17" s="6">
        <f>I17*'Erkrankungs- und Strukturdaten'!$C$21</f>
        <v>123800</v>
      </c>
      <c r="L17" s="11"/>
      <c r="N17" s="9"/>
      <c r="O17" s="6">
        <f>IF(AND(((H17/'Erkrankungs- und Strukturdaten'!$C$25)*'Erkrankungs- und Strukturdaten'!$E$27)+(H17/'Erkrankungs- und Strukturdaten'!$C$26)&lt;1,((H17/'Erkrankungs- und Strukturdaten'!$C$25)*'Erkrankungs- und Strukturdaten'!$E$27)+(H17/'Erkrankungs- und Strukturdaten'!$C$26)&gt;0),1,((H17/'Erkrankungs- und Strukturdaten'!$C$25)*'Erkrankungs- und Strukturdaten'!$E$27)+(H17/'Erkrankungs- und Strukturdaten'!$C$26))</f>
        <v>33530.466666666667</v>
      </c>
      <c r="P17" s="6">
        <f>ROUNDUP(((I17/'Erkrankungs- und Strukturdaten'!$C$28)*'Erkrankungs- und Strukturdaten'!$E$30)+(I17/'Erkrankungs- und Strukturdaten'!$C$29),0)</f>
        <v>6721</v>
      </c>
      <c r="Q17" s="6">
        <f>ROUNDUP((H17/'Erkrankungs- und Strukturdaten'!$C$34*'Erkrankungs- und Strukturdaten'!$E$36)+(H17/'Erkrankungs- und Strukturdaten'!$C$35),0)</f>
        <v>5374</v>
      </c>
      <c r="R17" s="6">
        <f>ROUNDUP((I17*'Erkrankungs- und Strukturdaten'!$C$40/'Erkrankungs- und Strukturdaten'!$C$38*'Erkrankungs- und Strukturdaten'!$E$39)+(I17*(1-'Erkrankungs- und Strukturdaten'!$C$40)/'Erkrankungs- und Strukturdaten'!$C$37*'Erkrankungs- und Strukturdaten'!$E$39),0)</f>
        <v>846</v>
      </c>
      <c r="S17" s="19"/>
      <c r="T17" s="48"/>
      <c r="U17" s="42"/>
      <c r="V17" s="42"/>
    </row>
    <row r="18" spans="1:22" ht="14.85" hidden="1" customHeight="1" x14ac:dyDescent="0.2">
      <c r="A18" s="42">
        <v>9</v>
      </c>
      <c r="B18" s="371"/>
      <c r="C18" s="28">
        <f t="shared" si="0"/>
        <v>44253</v>
      </c>
      <c r="D18" s="5">
        <f>SUMIF('Fallzahlen (Berechnung)'!D:D,"&lt;="&amp;Prognoseergebnis!C18,'Fallzahlen (Berechnung)'!E:E)-'Fallzahlen (Berechnung)'!$E$1</f>
        <v>553789</v>
      </c>
      <c r="E18" s="115">
        <f>VLOOKUP(C18,'Fallzahlen (Berechnung)'!$D:$E,'Fallzahlen (Berechnung)'!$E$1,FALSE)</f>
        <v>1082</v>
      </c>
      <c r="F18" s="56"/>
      <c r="G18" s="18">
        <v>9</v>
      </c>
      <c r="H18" s="5">
        <f>ROUND('Erkrankungs- und Strukturdaten'!$C$8*D18-IF(G18&gt;'Erkrankungs- und Strukturdaten'!$C$14,VLOOKUP(Prognoseergebnis!G18-ROUNDDOWN('Erkrankungs- und Strukturdaten'!$C$14,0),$A:$D,$D$6,FALSE)*'Erkrankungs- und Strukturdaten'!$C$8,0)
+IF(G18&gt;'Erkrankungs- und Strukturdaten'!$C$15,VLOOKUP(Prognoseergebnis!G18-ROUNDDOWN('Erkrankungs- und Strukturdaten'!$C$15,0),A:D,$D$6,FALSE)*'Erkrankungs- und Strukturdaten'!$C$9,0)
-IF(G18&gt;'Erkrankungs- und Strukturdaten'!$C$15+'Erkrankungs- und Strukturdaten'!$C$16,VLOOKUP(Prognoseergebnis!G18-ROUNDDOWN('Erkrankungs- und Strukturdaten'!$C$15-'Erkrankungs- und Strukturdaten'!$C$16,0),A:D,$D$6,FALSE)*'Erkrankungs- und Strukturdaten'!$C$9,0),0)</f>
        <v>1003</v>
      </c>
      <c r="I18" s="5">
        <f>ROUND('Erkrankungs- und Strukturdaten'!$C$9*D18-IF(G18&gt;'Erkrankungs- und Strukturdaten'!$C$15,VLOOKUP(Prognoseergebnis!G18-'Erkrankungs- und Strukturdaten'!$C$15,$A:$D,$D$6,FALSE)*'Erkrankungs- und Strukturdaten'!$C$9,0),0)</f>
        <v>6202</v>
      </c>
      <c r="J18" s="5">
        <f>I18*'Erkrankungs- und Strukturdaten'!$C$10/'Erkrankungs- und Strukturdaten'!$C$9</f>
        <v>3038.98</v>
      </c>
      <c r="K18" s="5">
        <f>I18*'Erkrankungs- und Strukturdaten'!$C$21</f>
        <v>124040</v>
      </c>
      <c r="L18" s="12"/>
      <c r="N18" s="10"/>
      <c r="O18" s="5">
        <f>IF(AND(((H18/'Erkrankungs- und Strukturdaten'!$C$25)*'Erkrankungs- und Strukturdaten'!$E$27)+(H18/'Erkrankungs- und Strukturdaten'!$C$26)&lt;1,((H18/'Erkrankungs- und Strukturdaten'!$C$25)*'Erkrankungs- und Strukturdaten'!$E$27)+(H18/'Erkrankungs- und Strukturdaten'!$C$26)&gt;0),1,((H18/'Erkrankungs- und Strukturdaten'!$C$25)*'Erkrankungs- und Strukturdaten'!$E$27)+(H18/'Erkrankungs- und Strukturdaten'!$C$26))</f>
        <v>434.63333333333333</v>
      </c>
      <c r="P18" s="5">
        <f>ROUNDUP(((I18/'Erkrankungs- und Strukturdaten'!$C$28)*'Erkrankungs- und Strukturdaten'!$E$30)+(I18/'Erkrankungs- und Strukturdaten'!$C$29),0)</f>
        <v>6734</v>
      </c>
      <c r="Q18" s="5">
        <f>ROUNDUP((H18/'Erkrankungs- und Strukturdaten'!$C$34*'Erkrankungs- und Strukturdaten'!$E$36)+(H18/'Erkrankungs- und Strukturdaten'!$C$35),0)</f>
        <v>70</v>
      </c>
      <c r="R18" s="5">
        <f>ROUNDUP((I18*'Erkrankungs- und Strukturdaten'!$C$40/'Erkrankungs- und Strukturdaten'!$C$38*'Erkrankungs- und Strukturdaten'!$E$39)+(I18*(1-'Erkrankungs- und Strukturdaten'!$C$40)/'Erkrankungs- und Strukturdaten'!$C$37*'Erkrankungs- und Strukturdaten'!$E$39),0)</f>
        <v>848</v>
      </c>
      <c r="S18" s="19"/>
      <c r="T18" s="48"/>
      <c r="U18" s="42"/>
      <c r="V18" s="42"/>
    </row>
    <row r="19" spans="1:22" ht="14.85" hidden="1" customHeight="1" x14ac:dyDescent="0.2">
      <c r="A19" s="42">
        <v>10</v>
      </c>
      <c r="B19" s="371"/>
      <c r="C19" s="28">
        <f t="shared" si="0"/>
        <v>44254</v>
      </c>
      <c r="D19" s="6">
        <f>SUMIF('Fallzahlen (Berechnung)'!D:D,"&lt;="&amp;Prognoseergebnis!C19,'Fallzahlen (Berechnung)'!E:E)-'Fallzahlen (Berechnung)'!$E$1</f>
        <v>554512</v>
      </c>
      <c r="E19" s="114">
        <f>VLOOKUP(C19,'Fallzahlen (Berechnung)'!$D:$E,'Fallzahlen (Berechnung)'!$E$1,FALSE)</f>
        <v>723</v>
      </c>
      <c r="F19" s="56"/>
      <c r="G19" s="18">
        <v>10</v>
      </c>
      <c r="H19" s="6">
        <f>ROUND('Erkrankungs- und Strukturdaten'!$C$8*D19-IF(G19&gt;'Erkrankungs- und Strukturdaten'!$C$14,VLOOKUP(Prognoseergebnis!G19-ROUNDDOWN('Erkrankungs- und Strukturdaten'!$C$14,0),$A:$D,$D$6,FALSE)*'Erkrankungs- und Strukturdaten'!$C$8,0)
+IF(G19&gt;'Erkrankungs- und Strukturdaten'!$C$15,VLOOKUP(Prognoseergebnis!G19-ROUNDDOWN('Erkrankungs- und Strukturdaten'!$C$15,0),A:D,$D$6,FALSE)*'Erkrankungs- und Strukturdaten'!$C$9,0)
-IF(G19&gt;'Erkrankungs- und Strukturdaten'!$C$15+'Erkrankungs- und Strukturdaten'!$C$16,VLOOKUP(Prognoseergebnis!G19-ROUNDDOWN('Erkrankungs- und Strukturdaten'!$C$15-'Erkrankungs- und Strukturdaten'!$C$16,0),A:D,$D$6,FALSE)*'Erkrankungs- und Strukturdaten'!$C$9,0),0)</f>
        <v>1007</v>
      </c>
      <c r="I19" s="6">
        <f>ROUND('Erkrankungs- und Strukturdaten'!$C$9*D19-IF(G19&gt;'Erkrankungs- und Strukturdaten'!$C$15,VLOOKUP(Prognoseergebnis!G19-'Erkrankungs- und Strukturdaten'!$C$15,$A:$D,$D$6,FALSE)*'Erkrankungs- und Strukturdaten'!$C$9,0),0)</f>
        <v>6211</v>
      </c>
      <c r="J19" s="6">
        <f>I19*'Erkrankungs- und Strukturdaten'!$C$10/'Erkrankungs- und Strukturdaten'!$C$9</f>
        <v>3043.39</v>
      </c>
      <c r="K19" s="6">
        <f>I19*'Erkrankungs- und Strukturdaten'!$C$21</f>
        <v>124220</v>
      </c>
      <c r="L19" s="11"/>
      <c r="N19" s="9"/>
      <c r="O19" s="6">
        <f>IF(AND(((H19/'Erkrankungs- und Strukturdaten'!$C$25)*'Erkrankungs- und Strukturdaten'!$E$27)+(H19/'Erkrankungs- und Strukturdaten'!$C$26)&lt;1,((H19/'Erkrankungs- und Strukturdaten'!$C$25)*'Erkrankungs- und Strukturdaten'!$E$27)+(H19/'Erkrankungs- und Strukturdaten'!$C$26)&gt;0),1,((H19/'Erkrankungs- und Strukturdaten'!$C$25)*'Erkrankungs- und Strukturdaten'!$E$27)+(H19/'Erkrankungs- und Strukturdaten'!$C$26))</f>
        <v>436.36666666666667</v>
      </c>
      <c r="P19" s="6">
        <f>ROUNDUP(((I19/'Erkrankungs- und Strukturdaten'!$C$28)*'Erkrankungs- und Strukturdaten'!$E$30)+(I19/'Erkrankungs- und Strukturdaten'!$C$29),0)</f>
        <v>6744</v>
      </c>
      <c r="Q19" s="6">
        <f>ROUNDUP((H19/'Erkrankungs- und Strukturdaten'!$C$34*'Erkrankungs- und Strukturdaten'!$E$36)+(H19/'Erkrankungs- und Strukturdaten'!$C$35),0)</f>
        <v>70</v>
      </c>
      <c r="R19" s="6">
        <f>ROUNDUP((I19*'Erkrankungs- und Strukturdaten'!$C$40/'Erkrankungs- und Strukturdaten'!$C$38*'Erkrankungs- und Strukturdaten'!$E$39)+(I19*(1-'Erkrankungs- und Strukturdaten'!$C$40)/'Erkrankungs- und Strukturdaten'!$C$37*'Erkrankungs- und Strukturdaten'!$E$39),0)</f>
        <v>849</v>
      </c>
      <c r="S19" s="19"/>
      <c r="T19" s="48"/>
      <c r="U19" s="42"/>
      <c r="V19" s="42"/>
    </row>
    <row r="20" spans="1:22" ht="14.85" hidden="1" customHeight="1" x14ac:dyDescent="0.2">
      <c r="A20" s="42">
        <v>11</v>
      </c>
      <c r="B20" s="371"/>
      <c r="C20" s="28">
        <f t="shared" si="0"/>
        <v>44255</v>
      </c>
      <c r="D20" s="5">
        <f>SUMIF('Fallzahlen (Berechnung)'!D:D,"&lt;="&amp;Prognoseergebnis!C20,'Fallzahlen (Berechnung)'!E:E)-'Fallzahlen (Berechnung)'!$E$1</f>
        <v>555059</v>
      </c>
      <c r="E20" s="115">
        <f>VLOOKUP(C20,'Fallzahlen (Berechnung)'!$D:$E,'Fallzahlen (Berechnung)'!$E$1,FALSE)</f>
        <v>547</v>
      </c>
      <c r="F20" s="56"/>
      <c r="G20" s="18">
        <v>11</v>
      </c>
      <c r="H20" s="5">
        <f>ROUND('Erkrankungs- und Strukturdaten'!$C$8*D20-IF(G20&gt;'Erkrankungs- und Strukturdaten'!$C$14,VLOOKUP(Prognoseergebnis!G20-ROUNDDOWN('Erkrankungs- und Strukturdaten'!$C$14,0),$A:$D,$D$6,FALSE)*'Erkrankungs- und Strukturdaten'!$C$8,0)
+IF(G20&gt;'Erkrankungs- und Strukturdaten'!$C$15,VLOOKUP(Prognoseergebnis!G20-ROUNDDOWN('Erkrankungs- und Strukturdaten'!$C$15,0),A:D,$D$6,FALSE)*'Erkrankungs- und Strukturdaten'!$C$9,0)
-IF(G20&gt;'Erkrankungs- und Strukturdaten'!$C$15+'Erkrankungs- und Strukturdaten'!$C$16,VLOOKUP(Prognoseergebnis!G20-ROUNDDOWN('Erkrankungs- und Strukturdaten'!$C$15-'Erkrankungs- und Strukturdaten'!$C$16,0),A:D,$D$6,FALSE)*'Erkrankungs- und Strukturdaten'!$C$9,0),0)</f>
        <v>1010</v>
      </c>
      <c r="I20" s="5">
        <f>ROUND('Erkrankungs- und Strukturdaten'!$C$9*D20-IF(G20&gt;'Erkrankungs- und Strukturdaten'!$C$15,VLOOKUP(Prognoseergebnis!G20-'Erkrankungs- und Strukturdaten'!$C$15,$A:$D,$D$6,FALSE)*'Erkrankungs- und Strukturdaten'!$C$9,0),0)</f>
        <v>6217</v>
      </c>
      <c r="J20" s="5">
        <f>I20*'Erkrankungs- und Strukturdaten'!$C$10/'Erkrankungs- und Strukturdaten'!$C$9</f>
        <v>3046.33</v>
      </c>
      <c r="K20" s="5">
        <f>I20*'Erkrankungs- und Strukturdaten'!$C$21</f>
        <v>124340</v>
      </c>
      <c r="L20" s="11"/>
      <c r="N20" s="9"/>
      <c r="O20" s="5">
        <f>IF(AND(((H20/'Erkrankungs- und Strukturdaten'!$C$25)*'Erkrankungs- und Strukturdaten'!$E$27)+(H20/'Erkrankungs- und Strukturdaten'!$C$26)&lt;1,((H20/'Erkrankungs- und Strukturdaten'!$C$25)*'Erkrankungs- und Strukturdaten'!$E$27)+(H20/'Erkrankungs- und Strukturdaten'!$C$26)&gt;0),1,((H20/'Erkrankungs- und Strukturdaten'!$C$25)*'Erkrankungs- und Strukturdaten'!$E$27)+(H20/'Erkrankungs- und Strukturdaten'!$C$26))</f>
        <v>437.66666666666669</v>
      </c>
      <c r="P20" s="5">
        <f>ROUNDUP(((I20/'Erkrankungs- und Strukturdaten'!$C$28)*'Erkrankungs- und Strukturdaten'!$E$30)+(I20/'Erkrankungs- und Strukturdaten'!$C$29),0)</f>
        <v>6750</v>
      </c>
      <c r="Q20" s="5">
        <f>ROUNDUP((H20/'Erkrankungs- und Strukturdaten'!$C$34*'Erkrankungs- und Strukturdaten'!$E$36)+(H20/'Erkrankungs- und Strukturdaten'!$C$35),0)</f>
        <v>71</v>
      </c>
      <c r="R20" s="5">
        <f>ROUNDUP((I20*'Erkrankungs- und Strukturdaten'!$C$40/'Erkrankungs- und Strukturdaten'!$C$38*'Erkrankungs- und Strukturdaten'!$E$39)+(I20*(1-'Erkrankungs- und Strukturdaten'!$C$40)/'Erkrankungs- und Strukturdaten'!$C$37*'Erkrankungs- und Strukturdaten'!$E$39),0)</f>
        <v>850</v>
      </c>
      <c r="S20" s="19"/>
      <c r="T20" s="48"/>
      <c r="U20" s="42"/>
      <c r="V20" s="42"/>
    </row>
    <row r="21" spans="1:22" ht="14.85" hidden="1" customHeight="1" x14ac:dyDescent="0.2">
      <c r="A21" s="42">
        <v>12</v>
      </c>
      <c r="B21" s="371"/>
      <c r="C21" s="28">
        <f t="shared" si="0"/>
        <v>44256</v>
      </c>
      <c r="D21" s="6">
        <f>SUMIF('Fallzahlen (Berechnung)'!D:D,"&lt;="&amp;Prognoseergebnis!C21,'Fallzahlen (Berechnung)'!E:E)-'Fallzahlen (Berechnung)'!$E$1</f>
        <v>556478</v>
      </c>
      <c r="E21" s="114">
        <f>VLOOKUP(C21,'Fallzahlen (Berechnung)'!$D:$E,'Fallzahlen (Berechnung)'!$E$1,FALSE)</f>
        <v>1419</v>
      </c>
      <c r="F21" s="56"/>
      <c r="G21" s="18">
        <v>12</v>
      </c>
      <c r="H21" s="6">
        <f>ROUND('Erkrankungs- und Strukturdaten'!$C$8*D21-IF(G21&gt;'Erkrankungs- und Strukturdaten'!$C$14,VLOOKUP(Prognoseergebnis!G21-ROUNDDOWN('Erkrankungs- und Strukturdaten'!$C$14,0),$A:$D,$D$6,FALSE)*'Erkrankungs- und Strukturdaten'!$C$8,0)
+IF(G21&gt;'Erkrankungs- und Strukturdaten'!$C$15,VLOOKUP(Prognoseergebnis!G21-ROUNDDOWN('Erkrankungs- und Strukturdaten'!$C$15,0),A:D,$D$6,FALSE)*'Erkrankungs- und Strukturdaten'!$C$9,0)
-IF(G21&gt;'Erkrankungs- und Strukturdaten'!$C$15+'Erkrankungs- und Strukturdaten'!$C$16,VLOOKUP(Prognoseergebnis!G21-ROUNDDOWN('Erkrankungs- und Strukturdaten'!$C$15-'Erkrankungs- und Strukturdaten'!$C$16,0),A:D,$D$6,FALSE)*'Erkrankungs- und Strukturdaten'!$C$9,0),0)</f>
        <v>1012</v>
      </c>
      <c r="I21" s="6">
        <f>ROUND('Erkrankungs- und Strukturdaten'!$C$9*D21-IF(G21&gt;'Erkrankungs- und Strukturdaten'!$C$15,VLOOKUP(Prognoseergebnis!G21-'Erkrankungs- und Strukturdaten'!$C$15,$A:$D,$D$6,FALSE)*'Erkrankungs- und Strukturdaten'!$C$9,0),0)</f>
        <v>6233</v>
      </c>
      <c r="J21" s="6">
        <f>I21*'Erkrankungs- und Strukturdaten'!$C$10/'Erkrankungs- und Strukturdaten'!$C$9</f>
        <v>3054.1699999999996</v>
      </c>
      <c r="K21" s="6">
        <f>I21*'Erkrankungs- und Strukturdaten'!$C$21</f>
        <v>124660</v>
      </c>
      <c r="L21" s="11"/>
      <c r="N21" s="9"/>
      <c r="O21" s="6">
        <f>IF(AND(((H21/'Erkrankungs- und Strukturdaten'!$C$25)*'Erkrankungs- und Strukturdaten'!$E$27)+(H21/'Erkrankungs- und Strukturdaten'!$C$26)&lt;1,((H21/'Erkrankungs- und Strukturdaten'!$C$25)*'Erkrankungs- und Strukturdaten'!$E$27)+(H21/'Erkrankungs- und Strukturdaten'!$C$26)&gt;0),1,((H21/'Erkrankungs- und Strukturdaten'!$C$25)*'Erkrankungs- und Strukturdaten'!$E$27)+(H21/'Erkrankungs- und Strukturdaten'!$C$26))</f>
        <v>438.5333333333333</v>
      </c>
      <c r="P21" s="6">
        <f>ROUNDUP(((I21/'Erkrankungs- und Strukturdaten'!$C$28)*'Erkrankungs- und Strukturdaten'!$E$30)+(I21/'Erkrankungs- und Strukturdaten'!$C$29),0)</f>
        <v>6768</v>
      </c>
      <c r="Q21" s="6">
        <f>ROUNDUP((H21/'Erkrankungs- und Strukturdaten'!$C$34*'Erkrankungs- und Strukturdaten'!$E$36)+(H21/'Erkrankungs- und Strukturdaten'!$C$35),0)</f>
        <v>71</v>
      </c>
      <c r="R21" s="6">
        <f>ROUNDUP((I21*'Erkrankungs- und Strukturdaten'!$C$40/'Erkrankungs- und Strukturdaten'!$C$38*'Erkrankungs- und Strukturdaten'!$E$39)+(I21*(1-'Erkrankungs- und Strukturdaten'!$C$40)/'Erkrankungs- und Strukturdaten'!$C$37*'Erkrankungs- und Strukturdaten'!$E$39),0)</f>
        <v>852</v>
      </c>
      <c r="S21" s="19"/>
      <c r="T21" s="48"/>
      <c r="U21" s="42"/>
      <c r="V21" s="42"/>
    </row>
    <row r="22" spans="1:22" ht="14.85" hidden="1" customHeight="1" x14ac:dyDescent="0.2">
      <c r="A22" s="42">
        <v>13</v>
      </c>
      <c r="B22" s="371"/>
      <c r="C22" s="28">
        <f t="shared" si="0"/>
        <v>44257</v>
      </c>
      <c r="D22" s="5">
        <f>SUMIF('Fallzahlen (Berechnung)'!D:D,"&lt;="&amp;Prognoseergebnis!C22,'Fallzahlen (Berechnung)'!E:E)-'Fallzahlen (Berechnung)'!$E$1</f>
        <v>557707</v>
      </c>
      <c r="E22" s="115">
        <f>VLOOKUP(C22,'Fallzahlen (Berechnung)'!$D:$E,'Fallzahlen (Berechnung)'!$E$1,FALSE)</f>
        <v>1229</v>
      </c>
      <c r="F22" s="56"/>
      <c r="G22" s="18">
        <v>13</v>
      </c>
      <c r="H22" s="5">
        <f>ROUND('Erkrankungs- und Strukturdaten'!$C$8*D22-IF(G22&gt;'Erkrankungs- und Strukturdaten'!$C$14,VLOOKUP(Prognoseergebnis!G22-ROUNDDOWN('Erkrankungs- und Strukturdaten'!$C$14,0),$A:$D,$D$6,FALSE)*'Erkrankungs- und Strukturdaten'!$C$8,0)
+IF(G22&gt;'Erkrankungs- und Strukturdaten'!$C$15,VLOOKUP(Prognoseergebnis!G22-ROUNDDOWN('Erkrankungs- und Strukturdaten'!$C$15,0),A:D,$D$6,FALSE)*'Erkrankungs- und Strukturdaten'!$C$9,0)
-IF(G22&gt;'Erkrankungs- und Strukturdaten'!$C$15+'Erkrankungs- und Strukturdaten'!$C$16,VLOOKUP(Prognoseergebnis!G22-ROUNDDOWN('Erkrankungs- und Strukturdaten'!$C$15-'Erkrankungs- und Strukturdaten'!$C$16,0),A:D,$D$6,FALSE)*'Erkrankungs- und Strukturdaten'!$C$9,0),0)</f>
        <v>1008</v>
      </c>
      <c r="I22" s="5">
        <f>ROUND('Erkrankungs- und Strukturdaten'!$C$9*D22-IF(G22&gt;'Erkrankungs- und Strukturdaten'!$C$15,VLOOKUP(Prognoseergebnis!G22-'Erkrankungs- und Strukturdaten'!$C$15,$A:$D,$D$6,FALSE)*'Erkrankungs- und Strukturdaten'!$C$9,0),0)</f>
        <v>6246</v>
      </c>
      <c r="J22" s="5">
        <f>I22*'Erkrankungs- und Strukturdaten'!$C$10/'Erkrankungs- und Strukturdaten'!$C$9</f>
        <v>3060.54</v>
      </c>
      <c r="K22" s="5">
        <f>I22*'Erkrankungs- und Strukturdaten'!$C$21</f>
        <v>124920</v>
      </c>
      <c r="L22" s="11"/>
      <c r="N22" s="9"/>
      <c r="O22" s="5">
        <f>IF(AND(((H22/'Erkrankungs- und Strukturdaten'!$C$25)*'Erkrankungs- und Strukturdaten'!$E$27)+(H22/'Erkrankungs- und Strukturdaten'!$C$26)&lt;1,((H22/'Erkrankungs- und Strukturdaten'!$C$25)*'Erkrankungs- und Strukturdaten'!$E$27)+(H22/'Erkrankungs- und Strukturdaten'!$C$26)&gt;0),1,((H22/'Erkrankungs- und Strukturdaten'!$C$25)*'Erkrankungs- und Strukturdaten'!$E$27)+(H22/'Erkrankungs- und Strukturdaten'!$C$26))</f>
        <v>436.8</v>
      </c>
      <c r="P22" s="5">
        <f>ROUNDUP(((I22/'Erkrankungs- und Strukturdaten'!$C$28)*'Erkrankungs- und Strukturdaten'!$E$30)+(I22/'Erkrankungs- und Strukturdaten'!$C$29),0)</f>
        <v>6782</v>
      </c>
      <c r="Q22" s="5">
        <f>ROUNDUP((H22/'Erkrankungs- und Strukturdaten'!$C$34*'Erkrankungs- und Strukturdaten'!$E$36)+(H22/'Erkrankungs- und Strukturdaten'!$C$35),0)</f>
        <v>70</v>
      </c>
      <c r="R22" s="5">
        <f>ROUNDUP((I22*'Erkrankungs- und Strukturdaten'!$C$40/'Erkrankungs- und Strukturdaten'!$C$38*'Erkrankungs- und Strukturdaten'!$E$39)+(I22*(1-'Erkrankungs- und Strukturdaten'!$C$40)/'Erkrankungs- und Strukturdaten'!$C$37*'Erkrankungs- und Strukturdaten'!$E$39),0)</f>
        <v>854</v>
      </c>
      <c r="S22" s="19"/>
      <c r="T22" s="48"/>
      <c r="U22" s="42"/>
      <c r="V22" s="42"/>
    </row>
    <row r="23" spans="1:22" ht="14.85" hidden="1" customHeight="1" x14ac:dyDescent="0.2">
      <c r="A23" s="42">
        <v>14</v>
      </c>
      <c r="B23" s="371"/>
      <c r="C23" s="28">
        <f t="shared" si="0"/>
        <v>44258</v>
      </c>
      <c r="D23" s="6">
        <f>SUMIF('Fallzahlen (Berechnung)'!D:D,"&lt;="&amp;Prognoseergebnis!C23,'Fallzahlen (Berechnung)'!E:E)-'Fallzahlen (Berechnung)'!$E$1</f>
        <v>558947</v>
      </c>
      <c r="E23" s="119">
        <f>VLOOKUP(C23,'Fallzahlen (Berechnung)'!$D:$E,'Fallzahlen (Berechnung)'!$E$1,FALSE)</f>
        <v>1240</v>
      </c>
      <c r="F23" s="56"/>
      <c r="G23" s="18">
        <v>14</v>
      </c>
      <c r="H23" s="6">
        <f>ROUND('Erkrankungs- und Strukturdaten'!$C$8*D23-IF(G23&gt;'Erkrankungs- und Strukturdaten'!$C$14,VLOOKUP(Prognoseergebnis!G23-ROUNDDOWN('Erkrankungs- und Strukturdaten'!$C$14,0),$A:$D,$D$6,FALSE)*'Erkrankungs- und Strukturdaten'!$C$8,0)
+IF(G23&gt;'Erkrankungs- und Strukturdaten'!$C$15,VLOOKUP(Prognoseergebnis!G23-ROUNDDOWN('Erkrankungs- und Strukturdaten'!$C$15,0),A:D,$D$6,FALSE)*'Erkrankungs- und Strukturdaten'!$C$9,0)
-IF(G23&gt;'Erkrankungs- und Strukturdaten'!$C$15+'Erkrankungs- und Strukturdaten'!$C$16,VLOOKUP(Prognoseergebnis!G23-ROUNDDOWN('Erkrankungs- und Strukturdaten'!$C$15-'Erkrankungs- und Strukturdaten'!$C$16,0),A:D,$D$6,FALSE)*'Erkrankungs- und Strukturdaten'!$C$9,0),0)</f>
        <v>1031</v>
      </c>
      <c r="I23" s="6">
        <f>ROUND('Erkrankungs- und Strukturdaten'!$C$9*D23-IF(G23&gt;'Erkrankungs- und Strukturdaten'!$C$15,VLOOKUP(Prognoseergebnis!G23-'Erkrankungs- und Strukturdaten'!$C$15,$A:$D,$D$6,FALSE)*'Erkrankungs- und Strukturdaten'!$C$9,0),0)</f>
        <v>6260</v>
      </c>
      <c r="J23" s="6">
        <f>I23*'Erkrankungs- und Strukturdaten'!$C$10/'Erkrankungs- und Strukturdaten'!$C$9</f>
        <v>3067.3999999999996</v>
      </c>
      <c r="K23" s="6">
        <f>I23*'Erkrankungs- und Strukturdaten'!$C$21</f>
        <v>125200</v>
      </c>
      <c r="L23" s="11"/>
      <c r="N23" s="9"/>
      <c r="O23" s="6">
        <f>IF(AND(((H23/'Erkrankungs- und Strukturdaten'!$C$25)*'Erkrankungs- und Strukturdaten'!$E$27)+(H23/'Erkrankungs- und Strukturdaten'!$C$26)&lt;1,((H23/'Erkrankungs- und Strukturdaten'!$C$25)*'Erkrankungs- und Strukturdaten'!$E$27)+(H23/'Erkrankungs- und Strukturdaten'!$C$26)&gt;0),1,((H23/'Erkrankungs- und Strukturdaten'!$C$25)*'Erkrankungs- und Strukturdaten'!$E$27)+(H23/'Erkrankungs- und Strukturdaten'!$C$26))</f>
        <v>446.76666666666665</v>
      </c>
      <c r="P23" s="6">
        <f>ROUNDUP(((I23/'Erkrankungs- und Strukturdaten'!$C$28)*'Erkrankungs- und Strukturdaten'!$E$30)+(I23/'Erkrankungs- und Strukturdaten'!$C$29),0)</f>
        <v>6797</v>
      </c>
      <c r="Q23" s="6">
        <f>ROUNDUP((H23/'Erkrankungs- und Strukturdaten'!$C$34*'Erkrankungs- und Strukturdaten'!$E$36)+(H23/'Erkrankungs- und Strukturdaten'!$C$35),0)</f>
        <v>72</v>
      </c>
      <c r="R23" s="6">
        <f>ROUNDUP((I23*'Erkrankungs- und Strukturdaten'!$C$40/'Erkrankungs- und Strukturdaten'!$C$38*'Erkrankungs- und Strukturdaten'!$E$39)+(I23*(1-'Erkrankungs- und Strukturdaten'!$C$40)/'Erkrankungs- und Strukturdaten'!$C$37*'Erkrankungs- und Strukturdaten'!$E$39),0)</f>
        <v>856</v>
      </c>
      <c r="S23" s="19"/>
      <c r="T23" s="48"/>
      <c r="U23" s="42"/>
      <c r="V23" s="42"/>
    </row>
    <row r="24" spans="1:22" ht="14.85" hidden="1" customHeight="1" x14ac:dyDescent="0.2">
      <c r="A24" s="42">
        <v>15</v>
      </c>
      <c r="B24" s="378" t="s">
        <v>244</v>
      </c>
      <c r="C24" s="28">
        <f t="shared" si="0"/>
        <v>44259</v>
      </c>
      <c r="D24" s="5">
        <f>SUMIF('Fallzahlen (Berechnung)'!D:D,"&lt;="&amp;Prognoseergebnis!C24,'Fallzahlen (Berechnung)'!E:E)-'Fallzahlen (Berechnung)'!$E$1</f>
        <v>560009</v>
      </c>
      <c r="E24" s="116">
        <f>VLOOKUP(C24,'Fallzahlen (Berechnung)'!$D:$E,'Fallzahlen (Berechnung)'!$E$1,FALSE)</f>
        <v>1062</v>
      </c>
      <c r="F24" s="26"/>
      <c r="G24" s="18">
        <v>15</v>
      </c>
      <c r="H24" s="5">
        <f>ROUND('Erkrankungs- und Strukturdaten'!$C$8*D24-IF(G24&gt;'Erkrankungs- und Strukturdaten'!$C$14,VLOOKUP(Prognoseergebnis!G24-ROUNDDOWN('Erkrankungs- und Strukturdaten'!$C$14,0),$A:$D,$D$6,FALSE)*'Erkrankungs- und Strukturdaten'!$C$8,0)
+IF(G24&gt;'Erkrankungs- und Strukturdaten'!$C$15,VLOOKUP(Prognoseergebnis!G24-ROUNDDOWN('Erkrankungs- und Strukturdaten'!$C$15,0),A:D,$D$6,FALSE)*'Erkrankungs- und Strukturdaten'!$C$9,0)
-IF(G24&gt;'Erkrankungs- und Strukturdaten'!$C$15+'Erkrankungs- und Strukturdaten'!$C$16,VLOOKUP(Prognoseergebnis!G24-ROUNDDOWN('Erkrankungs- und Strukturdaten'!$C$15-'Erkrankungs- und Strukturdaten'!$C$16,0),A:D,$D$6,FALSE)*'Erkrankungs- und Strukturdaten'!$C$9,0),0)</f>
        <v>1022</v>
      </c>
      <c r="I24" s="5">
        <f>ROUND('Erkrankungs- und Strukturdaten'!$C$9*D24-IF(G24&gt;'Erkrankungs- und Strukturdaten'!$C$15,VLOOKUP(Prognoseergebnis!G24-'Erkrankungs- und Strukturdaten'!$C$15,$A:$D,$D$6,FALSE)*'Erkrankungs- und Strukturdaten'!$C$9,0),0)</f>
        <v>6272</v>
      </c>
      <c r="J24" s="5">
        <f>I24*'Erkrankungs- und Strukturdaten'!$C$10/'Erkrankungs- und Strukturdaten'!$C$9</f>
        <v>3073.28</v>
      </c>
      <c r="K24" s="5">
        <f>I24*'Erkrankungs- und Strukturdaten'!$C$21</f>
        <v>125440</v>
      </c>
      <c r="L24" s="11"/>
      <c r="N24" s="9"/>
      <c r="O24" s="5">
        <f>IF(AND(((H24/'Erkrankungs- und Strukturdaten'!$C$25)*'Erkrankungs- und Strukturdaten'!$E$27)+(H24/'Erkrankungs- und Strukturdaten'!$C$26)&lt;1,((H24/'Erkrankungs- und Strukturdaten'!$C$25)*'Erkrankungs- und Strukturdaten'!$E$27)+(H24/'Erkrankungs- und Strukturdaten'!$C$26)&gt;0),1,((H24/'Erkrankungs- und Strukturdaten'!$C$25)*'Erkrankungs- und Strukturdaten'!$E$27)+(H24/'Erkrankungs- und Strukturdaten'!$C$26))</f>
        <v>442.86666666666667</v>
      </c>
      <c r="P24" s="5">
        <f>ROUNDUP(((I24/'Erkrankungs- und Strukturdaten'!$C$28)*'Erkrankungs- und Strukturdaten'!$E$30)+(I24/'Erkrankungs- und Strukturdaten'!$C$29),0)</f>
        <v>6810</v>
      </c>
      <c r="Q24" s="5">
        <f>ROUNDUP((H24/'Erkrankungs- und Strukturdaten'!$C$34*'Erkrankungs- und Strukturdaten'!$E$36)+(H24/'Erkrankungs- und Strukturdaten'!$C$35),0)</f>
        <v>71</v>
      </c>
      <c r="R24" s="5">
        <f>ROUNDUP((I24*'Erkrankungs- und Strukturdaten'!$C$40/'Erkrankungs- und Strukturdaten'!$C$38*'Erkrankungs- und Strukturdaten'!$E$39)+(I24*(1-'Erkrankungs- und Strukturdaten'!$C$40)/'Erkrankungs- und Strukturdaten'!$C$37*'Erkrankungs- und Strukturdaten'!$E$39),0)</f>
        <v>858</v>
      </c>
      <c r="S24" s="19"/>
      <c r="T24" s="51"/>
      <c r="U24" s="42"/>
      <c r="V24" s="42"/>
    </row>
    <row r="25" spans="1:22" ht="14.85" hidden="1" customHeight="1" x14ac:dyDescent="0.2">
      <c r="A25" s="42">
        <v>16</v>
      </c>
      <c r="B25" s="370"/>
      <c r="C25" s="28">
        <f t="shared" si="0"/>
        <v>44260</v>
      </c>
      <c r="D25" s="6">
        <f>SUMIF('Fallzahlen (Berechnung)'!D:D,"&lt;="&amp;Prognoseergebnis!C25,'Fallzahlen (Berechnung)'!E:E)-'Fallzahlen (Berechnung)'!$E$1</f>
        <v>561286</v>
      </c>
      <c r="E25" s="114">
        <f>VLOOKUP(C25,'Fallzahlen (Berechnung)'!$D:$E,'Fallzahlen (Berechnung)'!$E$1,FALSE)</f>
        <v>1277</v>
      </c>
      <c r="F25" s="26"/>
      <c r="G25" s="18">
        <v>16</v>
      </c>
      <c r="H25" s="6">
        <f>ROUND('Erkrankungs- und Strukturdaten'!$C$8*D25-IF(G25&gt;'Erkrankungs- und Strukturdaten'!$C$14,VLOOKUP(Prognoseergebnis!G25-ROUNDDOWN('Erkrankungs- und Strukturdaten'!$C$14,0),$A:$D,$D$6,FALSE)*'Erkrankungs- und Strukturdaten'!$C$8,0)
+IF(G25&gt;'Erkrankungs- und Strukturdaten'!$C$15,VLOOKUP(Prognoseergebnis!G25-ROUNDDOWN('Erkrankungs- und Strukturdaten'!$C$15,0),A:D,$D$6,FALSE)*'Erkrankungs- und Strukturdaten'!$C$9,0)
-IF(G25&gt;'Erkrankungs- und Strukturdaten'!$C$15+'Erkrankungs- und Strukturdaten'!$C$16,VLOOKUP(Prognoseergebnis!G25-ROUNDDOWN('Erkrankungs- und Strukturdaten'!$C$15-'Erkrankungs- und Strukturdaten'!$C$16,0),A:D,$D$6,FALSE)*'Erkrankungs- und Strukturdaten'!$C$9,0),0)</f>
        <v>1050</v>
      </c>
      <c r="I25" s="6">
        <f>ROUND('Erkrankungs- und Strukturdaten'!$C$9*D25-IF(G25&gt;'Erkrankungs- und Strukturdaten'!$C$15,VLOOKUP(Prognoseergebnis!G25-'Erkrankungs- und Strukturdaten'!$C$15,$A:$D,$D$6,FALSE)*'Erkrankungs- und Strukturdaten'!$C$9,0),0)</f>
        <v>6286</v>
      </c>
      <c r="J25" s="6">
        <f>I25*'Erkrankungs- und Strukturdaten'!$C$10/'Erkrankungs- und Strukturdaten'!$C$9</f>
        <v>3080.14</v>
      </c>
      <c r="K25" s="6">
        <f>I25*'Erkrankungs- und Strukturdaten'!$C$21</f>
        <v>125720</v>
      </c>
      <c r="L25" s="12"/>
      <c r="N25" s="10"/>
      <c r="O25" s="6">
        <f>IF(AND(((H25/'Erkrankungs- und Strukturdaten'!$C$25)*'Erkrankungs- und Strukturdaten'!$E$27)+(H25/'Erkrankungs- und Strukturdaten'!$C$26)&lt;1,((H25/'Erkrankungs- und Strukturdaten'!$C$25)*'Erkrankungs- und Strukturdaten'!$E$27)+(H25/'Erkrankungs- und Strukturdaten'!$C$26)&gt;0),1,((H25/'Erkrankungs- und Strukturdaten'!$C$25)*'Erkrankungs- und Strukturdaten'!$E$27)+(H25/'Erkrankungs- und Strukturdaten'!$C$26))</f>
        <v>455</v>
      </c>
      <c r="P25" s="6">
        <f>ROUNDUP(((I25/'Erkrankungs- und Strukturdaten'!$C$28)*'Erkrankungs- und Strukturdaten'!$E$30)+(I25/'Erkrankungs- und Strukturdaten'!$C$29),0)</f>
        <v>6825</v>
      </c>
      <c r="Q25" s="6">
        <f>ROUNDUP((H25/'Erkrankungs- und Strukturdaten'!$C$34*'Erkrankungs- und Strukturdaten'!$E$36)+(H25/'Erkrankungs- und Strukturdaten'!$C$35),0)</f>
        <v>73</v>
      </c>
      <c r="R25" s="6">
        <f>ROUNDUP((I25*'Erkrankungs- und Strukturdaten'!$C$40/'Erkrankungs- und Strukturdaten'!$C$38*'Erkrankungs- und Strukturdaten'!$E$39)+(I25*(1-'Erkrankungs- und Strukturdaten'!$C$40)/'Erkrankungs- und Strukturdaten'!$C$37*'Erkrankungs- und Strukturdaten'!$E$39),0)</f>
        <v>860</v>
      </c>
      <c r="S25" s="19"/>
      <c r="T25" s="51"/>
      <c r="U25" s="42"/>
      <c r="V25" s="42"/>
    </row>
    <row r="26" spans="1:22" ht="14.85" hidden="1" customHeight="1" x14ac:dyDescent="0.2">
      <c r="A26" s="42">
        <v>17</v>
      </c>
      <c r="B26" s="370"/>
      <c r="C26" s="28">
        <f t="shared" si="0"/>
        <v>44261</v>
      </c>
      <c r="D26" s="5">
        <f>SUMIF('Fallzahlen (Berechnung)'!D:D,"&lt;="&amp;Prognoseergebnis!C26,'Fallzahlen (Berechnung)'!E:E)-'Fallzahlen (Berechnung)'!$E$1</f>
        <v>562051</v>
      </c>
      <c r="E26" s="115">
        <f>VLOOKUP(C26,'Fallzahlen (Berechnung)'!$D:$E,'Fallzahlen (Berechnung)'!$E$1,FALSE)</f>
        <v>765</v>
      </c>
      <c r="F26" s="26"/>
      <c r="G26" s="18">
        <v>17</v>
      </c>
      <c r="H26" s="5">
        <f>ROUND('Erkrankungs- und Strukturdaten'!$C$8*D26-IF(G26&gt;'Erkrankungs- und Strukturdaten'!$C$14,VLOOKUP(Prognoseergebnis!G26-ROUNDDOWN('Erkrankungs- und Strukturdaten'!$C$14,0),$A:$D,$D$6,FALSE)*'Erkrankungs- und Strukturdaten'!$C$8,0)
+IF(G26&gt;'Erkrankungs- und Strukturdaten'!$C$15,VLOOKUP(Prognoseergebnis!G26-ROUNDDOWN('Erkrankungs- und Strukturdaten'!$C$15,0),A:D,$D$6,FALSE)*'Erkrankungs- und Strukturdaten'!$C$9,0)
-IF(G26&gt;'Erkrankungs- und Strukturdaten'!$C$15+'Erkrankungs- und Strukturdaten'!$C$16,VLOOKUP(Prognoseergebnis!G26-ROUNDDOWN('Erkrankungs- und Strukturdaten'!$C$15-'Erkrankungs- und Strukturdaten'!$C$16,0),A:D,$D$6,FALSE)*'Erkrankungs- und Strukturdaten'!$C$9,0),0)</f>
        <v>7178</v>
      </c>
      <c r="I26" s="5">
        <f>ROUND('Erkrankungs- und Strukturdaten'!$C$9*D26-IF(G26&gt;'Erkrankungs- und Strukturdaten'!$C$15,VLOOKUP(Prognoseergebnis!G26-'Erkrankungs- und Strukturdaten'!$C$15,$A:$D,$D$6,FALSE)*'Erkrankungs- und Strukturdaten'!$C$9,0),0)</f>
        <v>173</v>
      </c>
      <c r="J26" s="5">
        <f>I26*'Erkrankungs- und Strukturdaten'!$C$10/'Erkrankungs- und Strukturdaten'!$C$9</f>
        <v>84.77</v>
      </c>
      <c r="K26" s="5">
        <f>I26*'Erkrankungs- und Strukturdaten'!$C$21</f>
        <v>3460</v>
      </c>
      <c r="L26" s="11"/>
      <c r="N26" s="9"/>
      <c r="O26" s="5">
        <f>IF(AND(((H26/'Erkrankungs- und Strukturdaten'!$C$25)*'Erkrankungs- und Strukturdaten'!$E$27)+(H26/'Erkrankungs- und Strukturdaten'!$C$26)&lt;1,((H26/'Erkrankungs- und Strukturdaten'!$C$25)*'Erkrankungs- und Strukturdaten'!$E$27)+(H26/'Erkrankungs- und Strukturdaten'!$C$26)&gt;0),1,((H26/'Erkrankungs- und Strukturdaten'!$C$25)*'Erkrankungs- und Strukturdaten'!$E$27)+(H26/'Erkrankungs- und Strukturdaten'!$C$26))</f>
        <v>3110.4666666666662</v>
      </c>
      <c r="P26" s="5">
        <f>ROUNDUP(((I26/'Erkrankungs- und Strukturdaten'!$C$28)*'Erkrankungs- und Strukturdaten'!$E$30)+(I26/'Erkrankungs- und Strukturdaten'!$C$29),0)</f>
        <v>188</v>
      </c>
      <c r="Q26" s="5">
        <f>ROUNDUP((H26/'Erkrankungs- und Strukturdaten'!$C$34*'Erkrankungs- und Strukturdaten'!$E$36)+(H26/'Erkrankungs- und Strukturdaten'!$C$35),0)</f>
        <v>499</v>
      </c>
      <c r="R26" s="5">
        <f>ROUNDUP((I26*'Erkrankungs- und Strukturdaten'!$C$40/'Erkrankungs- und Strukturdaten'!$C$38*'Erkrankungs- und Strukturdaten'!$E$39)+(I26*(1-'Erkrankungs- und Strukturdaten'!$C$40)/'Erkrankungs- und Strukturdaten'!$C$37*'Erkrankungs- und Strukturdaten'!$E$39),0)</f>
        <v>24</v>
      </c>
      <c r="S26" s="19"/>
      <c r="T26" s="51"/>
      <c r="U26" s="42"/>
      <c r="V26" s="42"/>
    </row>
    <row r="27" spans="1:22" ht="14.85" hidden="1" customHeight="1" x14ac:dyDescent="0.2">
      <c r="A27" s="42">
        <v>18</v>
      </c>
      <c r="B27" s="370"/>
      <c r="C27" s="28">
        <f t="shared" si="0"/>
        <v>44262</v>
      </c>
      <c r="D27" s="6">
        <f>SUMIF('Fallzahlen (Berechnung)'!D:D,"&lt;="&amp;Prognoseergebnis!C27,'Fallzahlen (Berechnung)'!E:E)-'Fallzahlen (Berechnung)'!$E$1</f>
        <v>562633</v>
      </c>
      <c r="E27" s="114">
        <f>VLOOKUP(C27,'Fallzahlen (Berechnung)'!$D:$E,'Fallzahlen (Berechnung)'!$E$1,FALSE)</f>
        <v>582</v>
      </c>
      <c r="F27" s="26"/>
      <c r="G27" s="18">
        <v>18</v>
      </c>
      <c r="H27" s="6">
        <f>ROUND('Erkrankungs- und Strukturdaten'!$C$8*D27-IF(G27&gt;'Erkrankungs- und Strukturdaten'!$C$14,VLOOKUP(Prognoseergebnis!G27-ROUNDDOWN('Erkrankungs- und Strukturdaten'!$C$14,0),$A:$D,$D$6,FALSE)*'Erkrankungs- und Strukturdaten'!$C$8,0)
+IF(G27&gt;'Erkrankungs- und Strukturdaten'!$C$15,VLOOKUP(Prognoseergebnis!G27-ROUNDDOWN('Erkrankungs- und Strukturdaten'!$C$15,0),A:D,$D$6,FALSE)*'Erkrankungs- und Strukturdaten'!$C$9,0)
-IF(G27&gt;'Erkrankungs- und Strukturdaten'!$C$15+'Erkrankungs- und Strukturdaten'!$C$16,VLOOKUP(Prognoseergebnis!G27-ROUNDDOWN('Erkrankungs- und Strukturdaten'!$C$15-'Erkrankungs- und Strukturdaten'!$C$16,0),A:D,$D$6,FALSE)*'Erkrankungs- und Strukturdaten'!$C$9,0),0)</f>
        <v>7190</v>
      </c>
      <c r="I27" s="6">
        <f>ROUND('Erkrankungs- und Strukturdaten'!$C$9*D27-IF(G27&gt;'Erkrankungs- und Strukturdaten'!$C$15,VLOOKUP(Prognoseergebnis!G27-'Erkrankungs- und Strukturdaten'!$C$15,$A:$D,$D$6,FALSE)*'Erkrankungs- und Strukturdaten'!$C$9,0),0)</f>
        <v>172</v>
      </c>
      <c r="J27" s="6">
        <f>I27*'Erkrankungs- und Strukturdaten'!$C$10/'Erkrankungs- und Strukturdaten'!$C$9</f>
        <v>84.28</v>
      </c>
      <c r="K27" s="6">
        <f>I27*'Erkrankungs- und Strukturdaten'!$C$21</f>
        <v>3440</v>
      </c>
      <c r="L27" s="11"/>
      <c r="N27" s="9"/>
      <c r="O27" s="6">
        <f>IF(AND(((H27/'Erkrankungs- und Strukturdaten'!$C$25)*'Erkrankungs- und Strukturdaten'!$E$27)+(H27/'Erkrankungs- und Strukturdaten'!$C$26)&lt;1,((H27/'Erkrankungs- und Strukturdaten'!$C$25)*'Erkrankungs- und Strukturdaten'!$E$27)+(H27/'Erkrankungs- und Strukturdaten'!$C$26)&gt;0),1,((H27/'Erkrankungs- und Strukturdaten'!$C$25)*'Erkrankungs- und Strukturdaten'!$E$27)+(H27/'Erkrankungs- und Strukturdaten'!$C$26))</f>
        <v>3115.6666666666665</v>
      </c>
      <c r="P27" s="6">
        <f>ROUNDUP(((I27/'Erkrankungs- und Strukturdaten'!$C$28)*'Erkrankungs- und Strukturdaten'!$E$30)+(I27/'Erkrankungs- und Strukturdaten'!$C$29),0)</f>
        <v>187</v>
      </c>
      <c r="Q27" s="6">
        <f>ROUNDUP((H27/'Erkrankungs- und Strukturdaten'!$C$34*'Erkrankungs- und Strukturdaten'!$E$36)+(H27/'Erkrankungs- und Strukturdaten'!$C$35),0)</f>
        <v>500</v>
      </c>
      <c r="R27" s="6">
        <f>ROUNDUP((I27*'Erkrankungs- und Strukturdaten'!$C$40/'Erkrankungs- und Strukturdaten'!$C$38*'Erkrankungs- und Strukturdaten'!$E$39)+(I27*(1-'Erkrankungs- und Strukturdaten'!$C$40)/'Erkrankungs- und Strukturdaten'!$C$37*'Erkrankungs- und Strukturdaten'!$E$39),0)</f>
        <v>24</v>
      </c>
      <c r="S27" s="19"/>
      <c r="T27" s="51"/>
      <c r="U27" s="42"/>
      <c r="V27" s="42"/>
    </row>
    <row r="28" spans="1:22" ht="14.85" hidden="1" customHeight="1" x14ac:dyDescent="0.2">
      <c r="A28" s="42">
        <v>19</v>
      </c>
      <c r="B28" s="370"/>
      <c r="C28" s="28">
        <f t="shared" si="0"/>
        <v>44263</v>
      </c>
      <c r="D28" s="5">
        <f>SUMIF('Fallzahlen (Berechnung)'!D:D,"&lt;="&amp;Prognoseergebnis!C28,'Fallzahlen (Berechnung)'!E:E)-'Fallzahlen (Berechnung)'!$E$1</f>
        <v>564335</v>
      </c>
      <c r="E28" s="115">
        <f>VLOOKUP(C28,'Fallzahlen (Berechnung)'!$D:$E,'Fallzahlen (Berechnung)'!$E$1,FALSE)</f>
        <v>1702</v>
      </c>
      <c r="F28" s="26"/>
      <c r="G28" s="18">
        <v>19</v>
      </c>
      <c r="H28" s="5">
        <f>ROUND('Erkrankungs- und Strukturdaten'!$C$8*D28-IF(G28&gt;'Erkrankungs- und Strukturdaten'!$C$14,VLOOKUP(Prognoseergebnis!G28-ROUNDDOWN('Erkrankungs- und Strukturdaten'!$C$14,0),$A:$D,$D$6,FALSE)*'Erkrankungs- und Strukturdaten'!$C$8,0)
+IF(G28&gt;'Erkrankungs- und Strukturdaten'!$C$15,VLOOKUP(Prognoseergebnis!G28-ROUNDDOWN('Erkrankungs- und Strukturdaten'!$C$15,0),A:D,$D$6,FALSE)*'Erkrankungs- und Strukturdaten'!$C$9,0)
-IF(G28&gt;'Erkrankungs- und Strukturdaten'!$C$15+'Erkrankungs- und Strukturdaten'!$C$16,VLOOKUP(Prognoseergebnis!G28-ROUNDDOWN('Erkrankungs- und Strukturdaten'!$C$15-'Erkrankungs- und Strukturdaten'!$C$16,0),A:D,$D$6,FALSE)*'Erkrankungs- und Strukturdaten'!$C$9,0),0)</f>
        <v>7236</v>
      </c>
      <c r="I28" s="5">
        <f>ROUND('Erkrankungs- und Strukturdaten'!$C$9*D28-IF(G28&gt;'Erkrankungs- und Strukturdaten'!$C$15,VLOOKUP(Prognoseergebnis!G28-'Erkrankungs- und Strukturdaten'!$C$15,$A:$D,$D$6,FALSE)*'Erkrankungs- und Strukturdaten'!$C$9,0),0)</f>
        <v>185</v>
      </c>
      <c r="J28" s="5">
        <f>I28*'Erkrankungs- und Strukturdaten'!$C$10/'Erkrankungs- und Strukturdaten'!$C$9</f>
        <v>90.65</v>
      </c>
      <c r="K28" s="5">
        <f>I28*'Erkrankungs- und Strukturdaten'!$C$21</f>
        <v>3700</v>
      </c>
      <c r="L28" s="11"/>
      <c r="N28" s="9"/>
      <c r="O28" s="5">
        <f>IF(AND(((H28/'Erkrankungs- und Strukturdaten'!$C$25)*'Erkrankungs- und Strukturdaten'!$E$27)+(H28/'Erkrankungs- und Strukturdaten'!$C$26)&lt;1,((H28/'Erkrankungs- und Strukturdaten'!$C$25)*'Erkrankungs- und Strukturdaten'!$E$27)+(H28/'Erkrankungs- und Strukturdaten'!$C$26)&gt;0),1,((H28/'Erkrankungs- und Strukturdaten'!$C$25)*'Erkrankungs- und Strukturdaten'!$E$27)+(H28/'Erkrankungs- und Strukturdaten'!$C$26))</f>
        <v>3135.6</v>
      </c>
      <c r="P28" s="5">
        <f>ROUNDUP(((I28/'Erkrankungs- und Strukturdaten'!$C$28)*'Erkrankungs- und Strukturdaten'!$E$30)+(I28/'Erkrankungs- und Strukturdaten'!$C$29),0)</f>
        <v>201</v>
      </c>
      <c r="Q28" s="5">
        <f>ROUNDUP((H28/'Erkrankungs- und Strukturdaten'!$C$34*'Erkrankungs- und Strukturdaten'!$E$36)+(H28/'Erkrankungs- und Strukturdaten'!$C$35),0)</f>
        <v>503</v>
      </c>
      <c r="R28" s="5">
        <f>ROUNDUP((I28*'Erkrankungs- und Strukturdaten'!$C$40/'Erkrankungs- und Strukturdaten'!$C$38*'Erkrankungs- und Strukturdaten'!$E$39)+(I28*(1-'Erkrankungs- und Strukturdaten'!$C$40)/'Erkrankungs- und Strukturdaten'!$C$37*'Erkrankungs- und Strukturdaten'!$E$39),0)</f>
        <v>26</v>
      </c>
      <c r="S28" s="19"/>
      <c r="T28" s="51"/>
      <c r="U28" s="42"/>
      <c r="V28" s="42"/>
    </row>
    <row r="29" spans="1:22" ht="14.85" hidden="1" customHeight="1" x14ac:dyDescent="0.2">
      <c r="A29" s="42">
        <v>20</v>
      </c>
      <c r="B29" s="370"/>
      <c r="C29" s="28">
        <f t="shared" si="0"/>
        <v>44264</v>
      </c>
      <c r="D29" s="6">
        <f>SUMIF('Fallzahlen (Berechnung)'!D:D,"&lt;="&amp;Prognoseergebnis!C29,'Fallzahlen (Berechnung)'!E:E)-'Fallzahlen (Berechnung)'!$E$1</f>
        <v>565722</v>
      </c>
      <c r="E29" s="114">
        <f>VLOOKUP(C29,'Fallzahlen (Berechnung)'!$D:$E,'Fallzahlen (Berechnung)'!$E$1,FALSE)</f>
        <v>1387</v>
      </c>
      <c r="F29" s="26"/>
      <c r="G29" s="18">
        <v>20</v>
      </c>
      <c r="H29" s="6">
        <f>ROUND('Erkrankungs- und Strukturdaten'!$C$8*D29-IF(G29&gt;'Erkrankungs- und Strukturdaten'!$C$14,VLOOKUP(Prognoseergebnis!G29-ROUNDDOWN('Erkrankungs- und Strukturdaten'!$C$14,0),$A:$D,$D$6,FALSE)*'Erkrankungs- und Strukturdaten'!$C$8,0)
+IF(G29&gt;'Erkrankungs- und Strukturdaten'!$C$15,VLOOKUP(Prognoseergebnis!G29-ROUNDDOWN('Erkrankungs- und Strukturdaten'!$C$15,0),A:D,$D$6,FALSE)*'Erkrankungs- und Strukturdaten'!$C$9,0)
-IF(G29&gt;'Erkrankungs- und Strukturdaten'!$C$15+'Erkrankungs- und Strukturdaten'!$C$16,VLOOKUP(Prognoseergebnis!G29-ROUNDDOWN('Erkrankungs- und Strukturdaten'!$C$15-'Erkrankungs- und Strukturdaten'!$C$16,0),A:D,$D$6,FALSE)*'Erkrankungs- und Strukturdaten'!$C$9,0),0)</f>
        <v>7274</v>
      </c>
      <c r="I29" s="6">
        <f>ROUND('Erkrankungs- und Strukturdaten'!$C$9*D29-IF(G29&gt;'Erkrankungs- und Strukturdaten'!$C$15,VLOOKUP(Prognoseergebnis!G29-'Erkrankungs- und Strukturdaten'!$C$15,$A:$D,$D$6,FALSE)*'Erkrankungs- und Strukturdaten'!$C$9,0),0)</f>
        <v>184</v>
      </c>
      <c r="J29" s="6">
        <f>I29*'Erkrankungs- und Strukturdaten'!$C$10/'Erkrankungs- und Strukturdaten'!$C$9</f>
        <v>90.159999999999982</v>
      </c>
      <c r="K29" s="6">
        <f>I29*'Erkrankungs- und Strukturdaten'!$C$21</f>
        <v>3680</v>
      </c>
      <c r="L29" s="11"/>
      <c r="N29" s="9"/>
      <c r="O29" s="6">
        <f>IF(AND(((H29/'Erkrankungs- und Strukturdaten'!$C$25)*'Erkrankungs- und Strukturdaten'!$E$27)+(H29/'Erkrankungs- und Strukturdaten'!$C$26)&lt;1,((H29/'Erkrankungs- und Strukturdaten'!$C$25)*'Erkrankungs- und Strukturdaten'!$E$27)+(H29/'Erkrankungs- und Strukturdaten'!$C$26)&gt;0),1,((H29/'Erkrankungs- und Strukturdaten'!$C$25)*'Erkrankungs- und Strukturdaten'!$E$27)+(H29/'Erkrankungs- und Strukturdaten'!$C$26))</f>
        <v>3152.0666666666666</v>
      </c>
      <c r="P29" s="6">
        <f>ROUNDUP(((I29/'Erkrankungs- und Strukturdaten'!$C$28)*'Erkrankungs- und Strukturdaten'!$E$30)+(I29/'Erkrankungs- und Strukturdaten'!$C$29),0)</f>
        <v>200</v>
      </c>
      <c r="Q29" s="6">
        <f>ROUNDUP((H29/'Erkrankungs- und Strukturdaten'!$C$34*'Erkrankungs- und Strukturdaten'!$E$36)+(H29/'Erkrankungs- und Strukturdaten'!$C$35),0)</f>
        <v>506</v>
      </c>
      <c r="R29" s="6">
        <f>ROUNDUP((I29*'Erkrankungs- und Strukturdaten'!$C$40/'Erkrankungs- und Strukturdaten'!$C$38*'Erkrankungs- und Strukturdaten'!$E$39)+(I29*(1-'Erkrankungs- und Strukturdaten'!$C$40)/'Erkrankungs- und Strukturdaten'!$C$37*'Erkrankungs- und Strukturdaten'!$E$39),0)</f>
        <v>26</v>
      </c>
      <c r="S29" s="19"/>
      <c r="T29" s="51"/>
      <c r="U29" s="42"/>
      <c r="V29" s="42"/>
    </row>
    <row r="30" spans="1:22" ht="14.85" hidden="1" customHeight="1" x14ac:dyDescent="0.2">
      <c r="A30" s="42">
        <v>21</v>
      </c>
      <c r="B30" s="370"/>
      <c r="C30" s="28">
        <f t="shared" si="0"/>
        <v>44265</v>
      </c>
      <c r="D30" s="5">
        <f>SUMIF('Fallzahlen (Berechnung)'!D:D,"&lt;="&amp;Prognoseergebnis!C30,'Fallzahlen (Berechnung)'!E:E)-'Fallzahlen (Berechnung)'!$E$1</f>
        <v>567107</v>
      </c>
      <c r="E30" s="117">
        <f>VLOOKUP(C30,'Fallzahlen (Berechnung)'!$D:$E,'Fallzahlen (Berechnung)'!$E$1,FALSE)</f>
        <v>1385</v>
      </c>
      <c r="F30" s="26"/>
      <c r="G30" s="18">
        <v>21</v>
      </c>
      <c r="H30" s="5">
        <f>ROUND('Erkrankungs- und Strukturdaten'!$C$8*D30-IF(G30&gt;'Erkrankungs- und Strukturdaten'!$C$14,VLOOKUP(Prognoseergebnis!G30-ROUNDDOWN('Erkrankungs- und Strukturdaten'!$C$14,0),$A:$D,$D$6,FALSE)*'Erkrankungs- und Strukturdaten'!$C$8,0)
+IF(G30&gt;'Erkrankungs- und Strukturdaten'!$C$15,VLOOKUP(Prognoseergebnis!G30-ROUNDDOWN('Erkrankungs- und Strukturdaten'!$C$15,0),A:D,$D$6,FALSE)*'Erkrankungs- und Strukturdaten'!$C$9,0)
-IF(G30&gt;'Erkrankungs- und Strukturdaten'!$C$15+'Erkrankungs- und Strukturdaten'!$C$16,VLOOKUP(Prognoseergebnis!G30-ROUNDDOWN('Erkrankungs- und Strukturdaten'!$C$15-'Erkrankungs- und Strukturdaten'!$C$16,0),A:D,$D$6,FALSE)*'Erkrankungs- und Strukturdaten'!$C$9,0),0)</f>
        <v>7308</v>
      </c>
      <c r="I30" s="5">
        <f>ROUND('Erkrankungs- und Strukturdaten'!$C$9*D30-IF(G30&gt;'Erkrankungs- und Strukturdaten'!$C$15,VLOOKUP(Prognoseergebnis!G30-'Erkrankungs- und Strukturdaten'!$C$15,$A:$D,$D$6,FALSE)*'Erkrankungs- und Strukturdaten'!$C$9,0),0)</f>
        <v>186</v>
      </c>
      <c r="J30" s="5">
        <f>I30*'Erkrankungs- und Strukturdaten'!$C$10/'Erkrankungs- und Strukturdaten'!$C$9</f>
        <v>91.14</v>
      </c>
      <c r="K30" s="5">
        <f>I30*'Erkrankungs- und Strukturdaten'!$C$21</f>
        <v>3720</v>
      </c>
      <c r="L30" s="11"/>
      <c r="N30" s="9"/>
      <c r="O30" s="5">
        <f>IF(AND(((H30/'Erkrankungs- und Strukturdaten'!$C$25)*'Erkrankungs- und Strukturdaten'!$E$27)+(H30/'Erkrankungs- und Strukturdaten'!$C$26)&lt;1,((H30/'Erkrankungs- und Strukturdaten'!$C$25)*'Erkrankungs- und Strukturdaten'!$E$27)+(H30/'Erkrankungs- und Strukturdaten'!$C$26)&gt;0),1,((H30/'Erkrankungs- und Strukturdaten'!$C$25)*'Erkrankungs- und Strukturdaten'!$E$27)+(H30/'Erkrankungs- und Strukturdaten'!$C$26))</f>
        <v>3166.8</v>
      </c>
      <c r="P30" s="5">
        <f>ROUNDUP(((I30/'Erkrankungs- und Strukturdaten'!$C$28)*'Erkrankungs- und Strukturdaten'!$E$30)+(I30/'Erkrankungs- und Strukturdaten'!$C$29),0)</f>
        <v>202</v>
      </c>
      <c r="Q30" s="5">
        <f>ROUNDUP((H30/'Erkrankungs- und Strukturdaten'!$C$34*'Erkrankungs- und Strukturdaten'!$E$36)+(H30/'Erkrankungs- und Strukturdaten'!$C$35),0)</f>
        <v>508</v>
      </c>
      <c r="R30" s="5">
        <f>ROUNDUP((I30*'Erkrankungs- und Strukturdaten'!$C$40/'Erkrankungs- und Strukturdaten'!$C$38*'Erkrankungs- und Strukturdaten'!$E$39)+(I30*(1-'Erkrankungs- und Strukturdaten'!$C$40)/'Erkrankungs- und Strukturdaten'!$C$37*'Erkrankungs- und Strukturdaten'!$E$39),0)</f>
        <v>26</v>
      </c>
      <c r="S30" s="19"/>
      <c r="T30" s="51"/>
      <c r="U30" s="42"/>
      <c r="V30" s="42"/>
    </row>
    <row r="31" spans="1:22" ht="14.85" hidden="1" customHeight="1" x14ac:dyDescent="0.2">
      <c r="A31" s="42">
        <v>22</v>
      </c>
      <c r="B31" s="376" t="s">
        <v>243</v>
      </c>
      <c r="C31" s="28">
        <f t="shared" si="0"/>
        <v>44266</v>
      </c>
      <c r="D31" s="6">
        <f>SUMIF('Fallzahlen (Berechnung)'!D:D,"&lt;="&amp;Prognoseergebnis!C31,'Fallzahlen (Berechnung)'!E:E)-'Fallzahlen (Berechnung)'!$E$1</f>
        <v>568446</v>
      </c>
      <c r="E31" s="118">
        <f>VLOOKUP(C31,'Fallzahlen (Berechnung)'!$D:$E,'Fallzahlen (Berechnung)'!$E$1,FALSE)</f>
        <v>1339</v>
      </c>
      <c r="F31" s="26"/>
      <c r="G31" s="18">
        <v>22</v>
      </c>
      <c r="H31" s="6">
        <f>ROUND('Erkrankungs- und Strukturdaten'!$C$8*D31-IF(G31&gt;'Erkrankungs- und Strukturdaten'!$C$14,VLOOKUP(Prognoseergebnis!G31-ROUNDDOWN('Erkrankungs- und Strukturdaten'!$C$14,0),$A:$D,$D$6,FALSE)*'Erkrankungs- und Strukturdaten'!$C$8,0)
+IF(G31&gt;'Erkrankungs- und Strukturdaten'!$C$15,VLOOKUP(Prognoseergebnis!G31-ROUNDDOWN('Erkrankungs- und Strukturdaten'!$C$15,0),A:D,$D$6,FALSE)*'Erkrankungs- und Strukturdaten'!$C$9,0)
-IF(G31&gt;'Erkrankungs- und Strukturdaten'!$C$15+'Erkrankungs- und Strukturdaten'!$C$16,VLOOKUP(Prognoseergebnis!G31-ROUNDDOWN('Erkrankungs- und Strukturdaten'!$C$15-'Erkrankungs- und Strukturdaten'!$C$16,0),A:D,$D$6,FALSE)*'Erkrankungs- und Strukturdaten'!$C$9,0),0)</f>
        <v>1113</v>
      </c>
      <c r="I31" s="6">
        <f>ROUND('Erkrankungs- und Strukturdaten'!$C$9*D31-IF(G31&gt;'Erkrankungs- und Strukturdaten'!$C$15,VLOOKUP(Prognoseergebnis!G31-'Erkrankungs- und Strukturdaten'!$C$15,$A:$D,$D$6,FALSE)*'Erkrankungs- und Strukturdaten'!$C$9,0),0)</f>
        <v>189</v>
      </c>
      <c r="J31" s="6">
        <f>I31*'Erkrankungs- und Strukturdaten'!$C$10/'Erkrankungs- und Strukturdaten'!$C$9</f>
        <v>92.61</v>
      </c>
      <c r="K31" s="6">
        <f>I31*'Erkrankungs- und Strukturdaten'!$C$21</f>
        <v>3780</v>
      </c>
      <c r="L31" s="11"/>
      <c r="N31" s="9"/>
      <c r="O31" s="6">
        <f>IF(AND(((H31/'Erkrankungs- und Strukturdaten'!$C$25)*'Erkrankungs- und Strukturdaten'!$E$27)+(H31/'Erkrankungs- und Strukturdaten'!$C$26)&lt;1,((H31/'Erkrankungs- und Strukturdaten'!$C$25)*'Erkrankungs- und Strukturdaten'!$E$27)+(H31/'Erkrankungs- und Strukturdaten'!$C$26)&gt;0),1,((H31/'Erkrankungs- und Strukturdaten'!$C$25)*'Erkrankungs- und Strukturdaten'!$E$27)+(H31/'Erkrankungs- und Strukturdaten'!$C$26))</f>
        <v>482.3</v>
      </c>
      <c r="P31" s="6">
        <f>ROUNDUP(((I31/'Erkrankungs- und Strukturdaten'!$C$28)*'Erkrankungs- und Strukturdaten'!$E$30)+(I31/'Erkrankungs- und Strukturdaten'!$C$29),0)</f>
        <v>206</v>
      </c>
      <c r="Q31" s="6">
        <f>ROUNDUP((H31/'Erkrankungs- und Strukturdaten'!$C$34*'Erkrankungs- und Strukturdaten'!$E$36)+(H31/'Erkrankungs- und Strukturdaten'!$C$35),0)</f>
        <v>78</v>
      </c>
      <c r="R31" s="6">
        <f>ROUNDUP((I31*'Erkrankungs- und Strukturdaten'!$C$40/'Erkrankungs- und Strukturdaten'!$C$38*'Erkrankungs- und Strukturdaten'!$E$39)+(I31*(1-'Erkrankungs- und Strukturdaten'!$C$40)/'Erkrankungs- und Strukturdaten'!$C$37*'Erkrankungs- und Strukturdaten'!$E$39),0)</f>
        <v>26</v>
      </c>
      <c r="S31" s="19"/>
      <c r="T31" s="51"/>
      <c r="U31" s="42"/>
      <c r="V31" s="42"/>
    </row>
    <row r="32" spans="1:22" ht="14.85" hidden="1" customHeight="1" x14ac:dyDescent="0.2">
      <c r="A32" s="42">
        <v>23</v>
      </c>
      <c r="B32" s="371"/>
      <c r="C32" s="28">
        <f t="shared" si="0"/>
        <v>44267</v>
      </c>
      <c r="D32" s="5">
        <f>SUMIF('Fallzahlen (Berechnung)'!D:D,"&lt;="&amp;Prognoseergebnis!C32,'Fallzahlen (Berechnung)'!E:E)-'Fallzahlen (Berechnung)'!$E$1</f>
        <v>569787</v>
      </c>
      <c r="E32" s="115">
        <f>VLOOKUP(C32,'Fallzahlen (Berechnung)'!$D:$E,'Fallzahlen (Berechnung)'!$E$1,FALSE)</f>
        <v>1341</v>
      </c>
      <c r="F32" s="26"/>
      <c r="G32" s="18">
        <v>23</v>
      </c>
      <c r="H32" s="5">
        <f>ROUND('Erkrankungs- und Strukturdaten'!$C$8*D32-IF(G32&gt;'Erkrankungs- und Strukturdaten'!$C$14,VLOOKUP(Prognoseergebnis!G32-ROUNDDOWN('Erkrankungs- und Strukturdaten'!$C$14,0),$A:$D,$D$6,FALSE)*'Erkrankungs- und Strukturdaten'!$C$8,0)
+IF(G32&gt;'Erkrankungs- und Strukturdaten'!$C$15,VLOOKUP(Prognoseergebnis!G32-ROUNDDOWN('Erkrankungs- und Strukturdaten'!$C$15,0),A:D,$D$6,FALSE)*'Erkrankungs- und Strukturdaten'!$C$9,0)
-IF(G32&gt;'Erkrankungs- und Strukturdaten'!$C$15+'Erkrankungs- und Strukturdaten'!$C$16,VLOOKUP(Prognoseergebnis!G32-ROUNDDOWN('Erkrankungs- und Strukturdaten'!$C$15-'Erkrankungs- und Strukturdaten'!$C$16,0),A:D,$D$6,FALSE)*'Erkrankungs- und Strukturdaten'!$C$9,0),0)</f>
        <v>1120</v>
      </c>
      <c r="I32" s="5">
        <f>ROUND('Erkrankungs- und Strukturdaten'!$C$9*D32-IF(G32&gt;'Erkrankungs- und Strukturdaten'!$C$15,VLOOKUP(Prognoseergebnis!G32-'Erkrankungs- und Strukturdaten'!$C$15,$A:$D,$D$6,FALSE)*'Erkrankungs- und Strukturdaten'!$C$9,0),0)</f>
        <v>191</v>
      </c>
      <c r="J32" s="5">
        <f>I32*'Erkrankungs- und Strukturdaten'!$C$10/'Erkrankungs- und Strukturdaten'!$C$9</f>
        <v>93.589999999999989</v>
      </c>
      <c r="K32" s="5">
        <f>I32*'Erkrankungs- und Strukturdaten'!$C$21</f>
        <v>3820</v>
      </c>
      <c r="L32" s="11"/>
      <c r="N32" s="9"/>
      <c r="O32" s="5">
        <f>IF(AND(((H32/'Erkrankungs- und Strukturdaten'!$C$25)*'Erkrankungs- und Strukturdaten'!$E$27)+(H32/'Erkrankungs- und Strukturdaten'!$C$26)&lt;1,((H32/'Erkrankungs- und Strukturdaten'!$C$25)*'Erkrankungs- und Strukturdaten'!$E$27)+(H32/'Erkrankungs- und Strukturdaten'!$C$26)&gt;0),1,((H32/'Erkrankungs- und Strukturdaten'!$C$25)*'Erkrankungs- und Strukturdaten'!$E$27)+(H32/'Erkrankungs- und Strukturdaten'!$C$26))</f>
        <v>485.33333333333331</v>
      </c>
      <c r="P32" s="5">
        <f>ROUNDUP(((I32/'Erkrankungs- und Strukturdaten'!$C$28)*'Erkrankungs- und Strukturdaten'!$E$30)+(I32/'Erkrankungs- und Strukturdaten'!$C$29),0)</f>
        <v>208</v>
      </c>
      <c r="Q32" s="5">
        <f>ROUNDUP((H32/'Erkrankungs- und Strukturdaten'!$C$34*'Erkrankungs- und Strukturdaten'!$E$36)+(H32/'Erkrankungs- und Strukturdaten'!$C$35),0)</f>
        <v>78</v>
      </c>
      <c r="R32" s="5">
        <f>ROUNDUP((I32*'Erkrankungs- und Strukturdaten'!$C$40/'Erkrankungs- und Strukturdaten'!$C$38*'Erkrankungs- und Strukturdaten'!$E$39)+(I32*(1-'Erkrankungs- und Strukturdaten'!$C$40)/'Erkrankungs- und Strukturdaten'!$C$37*'Erkrankungs- und Strukturdaten'!$E$39),0)</f>
        <v>27</v>
      </c>
      <c r="S32" s="19"/>
      <c r="T32" s="51"/>
      <c r="U32" s="42"/>
      <c r="V32" s="42"/>
    </row>
    <row r="33" spans="1:22" ht="14.85" hidden="1" customHeight="1" x14ac:dyDescent="0.2">
      <c r="A33" s="42">
        <v>24</v>
      </c>
      <c r="B33" s="371"/>
      <c r="C33" s="28">
        <f t="shared" si="0"/>
        <v>44268</v>
      </c>
      <c r="D33" s="6">
        <f>SUMIF('Fallzahlen (Berechnung)'!D:D,"&lt;="&amp;Prognoseergebnis!C33,'Fallzahlen (Berechnung)'!E:E)-'Fallzahlen (Berechnung)'!$E$1</f>
        <v>570708</v>
      </c>
      <c r="E33" s="114">
        <f>VLOOKUP(C33,'Fallzahlen (Berechnung)'!$D:$E,'Fallzahlen (Berechnung)'!$E$1,FALSE)</f>
        <v>921</v>
      </c>
      <c r="F33" s="26"/>
      <c r="G33" s="18">
        <v>24</v>
      </c>
      <c r="H33" s="6">
        <f>ROUND('Erkrankungs- und Strukturdaten'!$C$8*D33-IF(G33&gt;'Erkrankungs- und Strukturdaten'!$C$14,VLOOKUP(Prognoseergebnis!G33-ROUNDDOWN('Erkrankungs- und Strukturdaten'!$C$14,0),$A:$D,$D$6,FALSE)*'Erkrankungs- und Strukturdaten'!$C$8,0)
+IF(G33&gt;'Erkrankungs- und Strukturdaten'!$C$15,VLOOKUP(Prognoseergebnis!G33-ROUNDDOWN('Erkrankungs- und Strukturdaten'!$C$15,0),A:D,$D$6,FALSE)*'Erkrankungs- und Strukturdaten'!$C$9,0)
-IF(G33&gt;'Erkrankungs- und Strukturdaten'!$C$15+'Erkrankungs- und Strukturdaten'!$C$16,VLOOKUP(Prognoseergebnis!G33-ROUNDDOWN('Erkrankungs- und Strukturdaten'!$C$15-'Erkrankungs- und Strukturdaten'!$C$16,0),A:D,$D$6,FALSE)*'Erkrankungs- und Strukturdaten'!$C$9,0),0)</f>
        <v>1142</v>
      </c>
      <c r="I33" s="6">
        <f>ROUND('Erkrankungs- und Strukturdaten'!$C$9*D33-IF(G33&gt;'Erkrankungs- und Strukturdaten'!$C$15,VLOOKUP(Prognoseergebnis!G33-'Erkrankungs- und Strukturdaten'!$C$15,$A:$D,$D$6,FALSE)*'Erkrankungs- und Strukturdaten'!$C$9,0),0)</f>
        <v>189</v>
      </c>
      <c r="J33" s="6">
        <f>I33*'Erkrankungs- und Strukturdaten'!$C$10/'Erkrankungs- und Strukturdaten'!$C$9</f>
        <v>92.61</v>
      </c>
      <c r="K33" s="6">
        <f>I33*'Erkrankungs- und Strukturdaten'!$C$21</f>
        <v>3780</v>
      </c>
      <c r="L33" s="11"/>
      <c r="N33" s="9"/>
      <c r="O33" s="6">
        <f>IF(AND(((H33/'Erkrankungs- und Strukturdaten'!$C$25)*'Erkrankungs- und Strukturdaten'!$E$27)+(H33/'Erkrankungs- und Strukturdaten'!$C$26)&lt;1,((H33/'Erkrankungs- und Strukturdaten'!$C$25)*'Erkrankungs- und Strukturdaten'!$E$27)+(H33/'Erkrankungs- und Strukturdaten'!$C$26)&gt;0),1,((H33/'Erkrankungs- und Strukturdaten'!$C$25)*'Erkrankungs- und Strukturdaten'!$E$27)+(H33/'Erkrankungs- und Strukturdaten'!$C$26))</f>
        <v>494.86666666666667</v>
      </c>
      <c r="P33" s="6">
        <f>ROUNDUP(((I33/'Erkrankungs- und Strukturdaten'!$C$28)*'Erkrankungs- und Strukturdaten'!$E$30)+(I33/'Erkrankungs- und Strukturdaten'!$C$29),0)</f>
        <v>206</v>
      </c>
      <c r="Q33" s="6">
        <f>ROUNDUP((H33/'Erkrankungs- und Strukturdaten'!$C$34*'Erkrankungs- und Strukturdaten'!$E$36)+(H33/'Erkrankungs- und Strukturdaten'!$C$35),0)</f>
        <v>80</v>
      </c>
      <c r="R33" s="6">
        <f>ROUNDUP((I33*'Erkrankungs- und Strukturdaten'!$C$40/'Erkrankungs- und Strukturdaten'!$C$38*'Erkrankungs- und Strukturdaten'!$E$39)+(I33*(1-'Erkrankungs- und Strukturdaten'!$C$40)/'Erkrankungs- und Strukturdaten'!$C$37*'Erkrankungs- und Strukturdaten'!$E$39),0)</f>
        <v>26</v>
      </c>
      <c r="S33" s="19"/>
      <c r="T33" s="51"/>
      <c r="U33" s="42"/>
      <c r="V33" s="42"/>
    </row>
    <row r="34" spans="1:22" ht="14.85" hidden="1" customHeight="1" x14ac:dyDescent="0.2">
      <c r="A34" s="42">
        <v>25</v>
      </c>
      <c r="B34" s="371"/>
      <c r="C34" s="28">
        <f t="shared" si="0"/>
        <v>44269</v>
      </c>
      <c r="D34" s="5">
        <f>SUMIF('Fallzahlen (Berechnung)'!D:D,"&lt;="&amp;Prognoseergebnis!C34,'Fallzahlen (Berechnung)'!E:E)-'Fallzahlen (Berechnung)'!$E$1</f>
        <v>571412</v>
      </c>
      <c r="E34" s="115">
        <f>VLOOKUP(C34,'Fallzahlen (Berechnung)'!$D:$E,'Fallzahlen (Berechnung)'!$E$1,FALSE)</f>
        <v>704</v>
      </c>
      <c r="F34" s="26"/>
      <c r="G34" s="18">
        <v>25</v>
      </c>
      <c r="H34" s="5">
        <f>ROUND('Erkrankungs- und Strukturdaten'!$C$8*D34-IF(G34&gt;'Erkrankungs- und Strukturdaten'!$C$14,VLOOKUP(Prognoseergebnis!G34-ROUNDDOWN('Erkrankungs- und Strukturdaten'!$C$14,0),$A:$D,$D$6,FALSE)*'Erkrankungs- und Strukturdaten'!$C$8,0)
+IF(G34&gt;'Erkrankungs- und Strukturdaten'!$C$15,VLOOKUP(Prognoseergebnis!G34-ROUNDDOWN('Erkrankungs- und Strukturdaten'!$C$15,0),A:D,$D$6,FALSE)*'Erkrankungs- und Strukturdaten'!$C$9,0)
-IF(G34&gt;'Erkrankungs- und Strukturdaten'!$C$15+'Erkrankungs- und Strukturdaten'!$C$16,VLOOKUP(Prognoseergebnis!G34-ROUNDDOWN('Erkrankungs- und Strukturdaten'!$C$15-'Erkrankungs- und Strukturdaten'!$C$16,0),A:D,$D$6,FALSE)*'Erkrankungs- und Strukturdaten'!$C$9,0),0)</f>
        <v>1153</v>
      </c>
      <c r="I34" s="5">
        <f>ROUND('Erkrankungs- und Strukturdaten'!$C$9*D34-IF(G34&gt;'Erkrankungs- und Strukturdaten'!$C$15,VLOOKUP(Prognoseergebnis!G34-'Erkrankungs- und Strukturdaten'!$C$15,$A:$D,$D$6,FALSE)*'Erkrankungs- und Strukturdaten'!$C$9,0),0)</f>
        <v>189</v>
      </c>
      <c r="J34" s="5">
        <f>I34*'Erkrankungs- und Strukturdaten'!$C$10/'Erkrankungs- und Strukturdaten'!$C$9</f>
        <v>92.61</v>
      </c>
      <c r="K34" s="5">
        <f>I34*'Erkrankungs- und Strukturdaten'!$C$21</f>
        <v>3780</v>
      </c>
      <c r="L34" s="11"/>
      <c r="N34" s="9"/>
      <c r="O34" s="5">
        <f>IF(AND(((H34/'Erkrankungs- und Strukturdaten'!$C$25)*'Erkrankungs- und Strukturdaten'!$E$27)+(H34/'Erkrankungs- und Strukturdaten'!$C$26)&lt;1,((H34/'Erkrankungs- und Strukturdaten'!$C$25)*'Erkrankungs- und Strukturdaten'!$E$27)+(H34/'Erkrankungs- und Strukturdaten'!$C$26)&gt;0),1,((H34/'Erkrankungs- und Strukturdaten'!$C$25)*'Erkrankungs- und Strukturdaten'!$E$27)+(H34/'Erkrankungs- und Strukturdaten'!$C$26))</f>
        <v>499.63333333333333</v>
      </c>
      <c r="P34" s="5">
        <f>ROUNDUP(((I34/'Erkrankungs- und Strukturdaten'!$C$28)*'Erkrankungs- und Strukturdaten'!$E$30)+(I34/'Erkrankungs- und Strukturdaten'!$C$29),0)</f>
        <v>206</v>
      </c>
      <c r="Q34" s="5">
        <f>ROUNDUP((H34/'Erkrankungs- und Strukturdaten'!$C$34*'Erkrankungs- und Strukturdaten'!$E$36)+(H34/'Erkrankungs- und Strukturdaten'!$C$35),0)</f>
        <v>81</v>
      </c>
      <c r="R34" s="5">
        <f>ROUNDUP((I34*'Erkrankungs- und Strukturdaten'!$C$40/'Erkrankungs- und Strukturdaten'!$C$38*'Erkrankungs- und Strukturdaten'!$E$39)+(I34*(1-'Erkrankungs- und Strukturdaten'!$C$40)/'Erkrankungs- und Strukturdaten'!$C$37*'Erkrankungs- und Strukturdaten'!$E$39),0)</f>
        <v>26</v>
      </c>
      <c r="S34" s="19"/>
      <c r="T34" s="51"/>
      <c r="U34" s="42"/>
      <c r="V34" s="42"/>
    </row>
    <row r="35" spans="1:22" ht="14.85" hidden="1" customHeight="1" x14ac:dyDescent="0.2">
      <c r="A35" s="42">
        <v>26</v>
      </c>
      <c r="B35" s="371"/>
      <c r="C35" s="28">
        <f t="shared" si="0"/>
        <v>44270</v>
      </c>
      <c r="D35" s="6">
        <f>SUMIF('Fallzahlen (Berechnung)'!D:D,"&lt;="&amp;Prognoseergebnis!C35,'Fallzahlen (Berechnung)'!E:E)-'Fallzahlen (Berechnung)'!$E$1</f>
        <v>573332</v>
      </c>
      <c r="E35" s="114">
        <f>VLOOKUP(C35,'Fallzahlen (Berechnung)'!$D:$E,'Fallzahlen (Berechnung)'!$E$1,FALSE)</f>
        <v>1920</v>
      </c>
      <c r="F35" s="26"/>
      <c r="G35" s="18">
        <v>26</v>
      </c>
      <c r="H35" s="6">
        <f>ROUND('Erkrankungs- und Strukturdaten'!$C$8*D35-IF(G35&gt;'Erkrankungs- und Strukturdaten'!$C$14,VLOOKUP(Prognoseergebnis!G35-ROUNDDOWN('Erkrankungs- und Strukturdaten'!$C$14,0),$A:$D,$D$6,FALSE)*'Erkrankungs- und Strukturdaten'!$C$8,0)
+IF(G35&gt;'Erkrankungs- und Strukturdaten'!$C$15,VLOOKUP(Prognoseergebnis!G35-ROUNDDOWN('Erkrankungs- und Strukturdaten'!$C$15,0),A:D,$D$6,FALSE)*'Erkrankungs- und Strukturdaten'!$C$9,0)
-IF(G35&gt;'Erkrankungs- und Strukturdaten'!$C$15+'Erkrankungs- und Strukturdaten'!$C$16,VLOOKUP(Prognoseergebnis!G35-ROUNDDOWN('Erkrankungs- und Strukturdaten'!$C$15-'Erkrankungs- und Strukturdaten'!$C$16,0),A:D,$D$6,FALSE)*'Erkrankungs- und Strukturdaten'!$C$9,0),0)</f>
        <v>1181</v>
      </c>
      <c r="I35" s="6">
        <f>ROUND('Erkrankungs- und Strukturdaten'!$C$9*D35-IF(G35&gt;'Erkrankungs- und Strukturdaten'!$C$15,VLOOKUP(Prognoseergebnis!G35-'Erkrankungs- und Strukturdaten'!$C$15,$A:$D,$D$6,FALSE)*'Erkrankungs- und Strukturdaten'!$C$9,0),0)</f>
        <v>205</v>
      </c>
      <c r="J35" s="6">
        <f>I35*'Erkrankungs- und Strukturdaten'!$C$10/'Erkrankungs- und Strukturdaten'!$C$9</f>
        <v>100.44999999999999</v>
      </c>
      <c r="K35" s="6">
        <f>I35*'Erkrankungs- und Strukturdaten'!$C$21</f>
        <v>4100</v>
      </c>
      <c r="L35" s="11"/>
      <c r="N35" s="9"/>
      <c r="O35" s="6">
        <f>IF(AND(((H35/'Erkrankungs- und Strukturdaten'!$C$25)*'Erkrankungs- und Strukturdaten'!$E$27)+(H35/'Erkrankungs- und Strukturdaten'!$C$26)&lt;1,((H35/'Erkrankungs- und Strukturdaten'!$C$25)*'Erkrankungs- und Strukturdaten'!$E$27)+(H35/'Erkrankungs- und Strukturdaten'!$C$26)&gt;0),1,((H35/'Erkrankungs- und Strukturdaten'!$C$25)*'Erkrankungs- und Strukturdaten'!$E$27)+(H35/'Erkrankungs- und Strukturdaten'!$C$26))</f>
        <v>511.76666666666665</v>
      </c>
      <c r="P35" s="6">
        <f>ROUNDUP(((I35/'Erkrankungs- und Strukturdaten'!$C$28)*'Erkrankungs- und Strukturdaten'!$E$30)+(I35/'Erkrankungs- und Strukturdaten'!$C$29),0)</f>
        <v>223</v>
      </c>
      <c r="Q35" s="6">
        <f>ROUNDUP((H35/'Erkrankungs- und Strukturdaten'!$C$34*'Erkrankungs- und Strukturdaten'!$E$36)+(H35/'Erkrankungs- und Strukturdaten'!$C$35),0)</f>
        <v>83</v>
      </c>
      <c r="R35" s="6">
        <f>ROUNDUP((I35*'Erkrankungs- und Strukturdaten'!$C$40/'Erkrankungs- und Strukturdaten'!$C$38*'Erkrankungs- und Strukturdaten'!$E$39)+(I35*(1-'Erkrankungs- und Strukturdaten'!$C$40)/'Erkrankungs- und Strukturdaten'!$C$37*'Erkrankungs- und Strukturdaten'!$E$39),0)</f>
        <v>29</v>
      </c>
      <c r="S35" s="19"/>
      <c r="T35" s="51"/>
      <c r="U35" s="42"/>
      <c r="V35" s="42"/>
    </row>
    <row r="36" spans="1:22" ht="14.85" hidden="1" customHeight="1" x14ac:dyDescent="0.2">
      <c r="A36" s="42">
        <v>27</v>
      </c>
      <c r="B36" s="371"/>
      <c r="C36" s="28">
        <f t="shared" si="0"/>
        <v>44271</v>
      </c>
      <c r="D36" s="5">
        <f>SUMIF('Fallzahlen (Berechnung)'!D:D,"&lt;="&amp;Prognoseergebnis!C36,'Fallzahlen (Berechnung)'!E:E)-'Fallzahlen (Berechnung)'!$E$1</f>
        <v>574983</v>
      </c>
      <c r="E36" s="115">
        <f>VLOOKUP(C36,'Fallzahlen (Berechnung)'!$D:$E,'Fallzahlen (Berechnung)'!$E$1,FALSE)</f>
        <v>1651</v>
      </c>
      <c r="F36" s="26"/>
      <c r="G36" s="18">
        <v>27</v>
      </c>
      <c r="H36" s="5">
        <f>ROUND('Erkrankungs- und Strukturdaten'!$C$8*D36-IF(G36&gt;'Erkrankungs- und Strukturdaten'!$C$14,VLOOKUP(Prognoseergebnis!G36-ROUNDDOWN('Erkrankungs- und Strukturdaten'!$C$14,0),$A:$D,$D$6,FALSE)*'Erkrankungs- und Strukturdaten'!$C$8,0)
+IF(G36&gt;'Erkrankungs- und Strukturdaten'!$C$15,VLOOKUP(Prognoseergebnis!G36-ROUNDDOWN('Erkrankungs- und Strukturdaten'!$C$15,0),A:D,$D$6,FALSE)*'Erkrankungs- und Strukturdaten'!$C$9,0)
-IF(G36&gt;'Erkrankungs- und Strukturdaten'!$C$15+'Erkrankungs- und Strukturdaten'!$C$16,VLOOKUP(Prognoseergebnis!G36-ROUNDDOWN('Erkrankungs- und Strukturdaten'!$C$15-'Erkrankungs- und Strukturdaten'!$C$16,0),A:D,$D$6,FALSE)*'Erkrankungs- und Strukturdaten'!$C$9,0),0)</f>
        <v>1228</v>
      </c>
      <c r="I36" s="5">
        <f>ROUND('Erkrankungs- und Strukturdaten'!$C$9*D36-IF(G36&gt;'Erkrankungs- und Strukturdaten'!$C$15,VLOOKUP(Prognoseergebnis!G36-'Erkrankungs- und Strukturdaten'!$C$15,$A:$D,$D$6,FALSE)*'Erkrankungs- und Strukturdaten'!$C$9,0),0)</f>
        <v>207</v>
      </c>
      <c r="J36" s="5">
        <f>I36*'Erkrankungs- und Strukturdaten'!$C$10/'Erkrankungs- und Strukturdaten'!$C$9</f>
        <v>101.42999999999999</v>
      </c>
      <c r="K36" s="5">
        <f>I36*'Erkrankungs- und Strukturdaten'!$C$21</f>
        <v>4140</v>
      </c>
      <c r="L36" s="11"/>
      <c r="N36" s="9"/>
      <c r="O36" s="5">
        <f>IF(AND(((H36/'Erkrankungs- und Strukturdaten'!$C$25)*'Erkrankungs- und Strukturdaten'!$E$27)+(H36/'Erkrankungs- und Strukturdaten'!$C$26)&lt;1,((H36/'Erkrankungs- und Strukturdaten'!$C$25)*'Erkrankungs- und Strukturdaten'!$E$27)+(H36/'Erkrankungs- und Strukturdaten'!$C$26)&gt;0),1,((H36/'Erkrankungs- und Strukturdaten'!$C$25)*'Erkrankungs- und Strukturdaten'!$E$27)+(H36/'Erkrankungs- und Strukturdaten'!$C$26))</f>
        <v>532.13333333333333</v>
      </c>
      <c r="P36" s="5">
        <f>ROUNDUP(((I36/'Erkrankungs- und Strukturdaten'!$C$28)*'Erkrankungs- und Strukturdaten'!$E$30)+(I36/'Erkrankungs- und Strukturdaten'!$C$29),0)</f>
        <v>225</v>
      </c>
      <c r="Q36" s="5">
        <f>ROUNDUP((H36/'Erkrankungs- und Strukturdaten'!$C$34*'Erkrankungs- und Strukturdaten'!$E$36)+(H36/'Erkrankungs- und Strukturdaten'!$C$35),0)</f>
        <v>86</v>
      </c>
      <c r="R36" s="5">
        <f>ROUNDUP((I36*'Erkrankungs- und Strukturdaten'!$C$40/'Erkrankungs- und Strukturdaten'!$C$38*'Erkrankungs- und Strukturdaten'!$E$39)+(I36*(1-'Erkrankungs- und Strukturdaten'!$C$40)/'Erkrankungs- und Strukturdaten'!$C$37*'Erkrankungs- und Strukturdaten'!$E$39),0)</f>
        <v>29</v>
      </c>
      <c r="S36" s="19"/>
      <c r="T36" s="51"/>
      <c r="U36" s="42"/>
      <c r="V36" s="42"/>
    </row>
    <row r="37" spans="1:22" ht="14.85" hidden="1" customHeight="1" x14ac:dyDescent="0.2">
      <c r="A37" s="42">
        <v>28</v>
      </c>
      <c r="B37" s="371"/>
      <c r="C37" s="28">
        <f t="shared" si="0"/>
        <v>44272</v>
      </c>
      <c r="D37" s="6">
        <f>SUMIF('Fallzahlen (Berechnung)'!D:D,"&lt;="&amp;Prognoseergebnis!C37,'Fallzahlen (Berechnung)'!E:E)-'Fallzahlen (Berechnung)'!$E$1</f>
        <v>576809</v>
      </c>
      <c r="E37" s="119">
        <f>VLOOKUP(C37,'Fallzahlen (Berechnung)'!$D:$E,'Fallzahlen (Berechnung)'!$E$1,FALSE)</f>
        <v>1826</v>
      </c>
      <c r="F37" s="26"/>
      <c r="G37" s="18">
        <v>28</v>
      </c>
      <c r="H37" s="6">
        <f>ROUND('Erkrankungs- und Strukturdaten'!$C$8*D37-IF(G37&gt;'Erkrankungs- und Strukturdaten'!$C$14,VLOOKUP(Prognoseergebnis!G37-ROUNDDOWN('Erkrankungs- und Strukturdaten'!$C$14,0),$A:$D,$D$6,FALSE)*'Erkrankungs- und Strukturdaten'!$C$8,0)
+IF(G37&gt;'Erkrankungs- und Strukturdaten'!$C$15,VLOOKUP(Prognoseergebnis!G37-ROUNDDOWN('Erkrankungs- und Strukturdaten'!$C$15,0),A:D,$D$6,FALSE)*'Erkrankungs- und Strukturdaten'!$C$9,0)
-IF(G37&gt;'Erkrankungs- und Strukturdaten'!$C$15+'Erkrankungs- und Strukturdaten'!$C$16,VLOOKUP(Prognoseergebnis!G37-ROUNDDOWN('Erkrankungs- und Strukturdaten'!$C$15-'Erkrankungs- und Strukturdaten'!$C$16,0),A:D,$D$6,FALSE)*'Erkrankungs- und Strukturdaten'!$C$9,0),0)</f>
        <v>1284</v>
      </c>
      <c r="I37" s="6">
        <f>ROUND('Erkrankungs- und Strukturdaten'!$C$9*D37-IF(G37&gt;'Erkrankungs- und Strukturdaten'!$C$15,VLOOKUP(Prognoseergebnis!G37-'Erkrankungs- und Strukturdaten'!$C$15,$A:$D,$D$6,FALSE)*'Erkrankungs- und Strukturdaten'!$C$9,0),0)</f>
        <v>214</v>
      </c>
      <c r="J37" s="6">
        <f>I37*'Erkrankungs- und Strukturdaten'!$C$10/'Erkrankungs- und Strukturdaten'!$C$9</f>
        <v>104.86</v>
      </c>
      <c r="K37" s="6">
        <f>I37*'Erkrankungs- und Strukturdaten'!$C$21</f>
        <v>4280</v>
      </c>
      <c r="L37" s="11"/>
      <c r="N37" s="9"/>
      <c r="O37" s="6">
        <f>IF(AND(((H37/'Erkrankungs- und Strukturdaten'!$C$25)*'Erkrankungs- und Strukturdaten'!$E$27)+(H37/'Erkrankungs- und Strukturdaten'!$C$26)&lt;1,((H37/'Erkrankungs- und Strukturdaten'!$C$25)*'Erkrankungs- und Strukturdaten'!$E$27)+(H37/'Erkrankungs- und Strukturdaten'!$C$26)&gt;0),1,((H37/'Erkrankungs- und Strukturdaten'!$C$25)*'Erkrankungs- und Strukturdaten'!$E$27)+(H37/'Erkrankungs- und Strukturdaten'!$C$26))</f>
        <v>556.4</v>
      </c>
      <c r="P37" s="6">
        <f>ROUNDUP(((I37/'Erkrankungs- und Strukturdaten'!$C$28)*'Erkrankungs- und Strukturdaten'!$E$30)+(I37/'Erkrankungs- und Strukturdaten'!$C$29),0)</f>
        <v>233</v>
      </c>
      <c r="Q37" s="6">
        <f>ROUNDUP((H37/'Erkrankungs- und Strukturdaten'!$C$34*'Erkrankungs- und Strukturdaten'!$E$36)+(H37/'Erkrankungs- und Strukturdaten'!$C$35),0)</f>
        <v>90</v>
      </c>
      <c r="R37" s="6">
        <f>ROUNDUP((I37*'Erkrankungs- und Strukturdaten'!$C$40/'Erkrankungs- und Strukturdaten'!$C$38*'Erkrankungs- und Strukturdaten'!$E$39)+(I37*(1-'Erkrankungs- und Strukturdaten'!$C$40)/'Erkrankungs- und Strukturdaten'!$C$37*'Erkrankungs- und Strukturdaten'!$E$39),0)</f>
        <v>30</v>
      </c>
      <c r="S37" s="19"/>
      <c r="T37" s="51"/>
      <c r="U37" s="42"/>
      <c r="V37" s="42"/>
    </row>
    <row r="38" spans="1:22" ht="14.85" hidden="1" customHeight="1" x14ac:dyDescent="0.2">
      <c r="A38" s="42">
        <v>29</v>
      </c>
      <c r="B38" s="378" t="s">
        <v>43</v>
      </c>
      <c r="C38" s="28">
        <f t="shared" ref="C38:C52" si="1">C39-1</f>
        <v>44273</v>
      </c>
      <c r="D38" s="5">
        <f>SUMIF('Fallzahlen (Berechnung)'!D:D,"&lt;="&amp;Prognoseergebnis!C38,'Fallzahlen (Berechnung)'!E:E)-'Fallzahlen (Berechnung)'!$E$1</f>
        <v>578455</v>
      </c>
      <c r="E38" s="116">
        <f>VLOOKUP(C38,'Fallzahlen (Berechnung)'!$D:$E,'Fallzahlen (Berechnung)'!$E$1,FALSE)</f>
        <v>1646</v>
      </c>
      <c r="F38" s="56"/>
      <c r="G38" s="18">
        <v>29</v>
      </c>
      <c r="H38" s="5">
        <f>ROUND('Erkrankungs- und Strukturdaten'!$C$8*D38-IF(G38&gt;'Erkrankungs- und Strukturdaten'!$C$14,VLOOKUP(Prognoseergebnis!G38-ROUNDDOWN('Erkrankungs- und Strukturdaten'!$C$14,0),$A:$D,$D$6,FALSE)*'Erkrankungs- und Strukturdaten'!$C$8,0)
+IF(G38&gt;'Erkrankungs- und Strukturdaten'!$C$15,VLOOKUP(Prognoseergebnis!G38-ROUNDDOWN('Erkrankungs- und Strukturdaten'!$C$15,0),A:D,$D$6,FALSE)*'Erkrankungs- und Strukturdaten'!$C$9,0)
-IF(G38&gt;'Erkrankungs- und Strukturdaten'!$C$15+'Erkrankungs- und Strukturdaten'!$C$16,VLOOKUP(Prognoseergebnis!G38-ROUNDDOWN('Erkrankungs- und Strukturdaten'!$C$15-'Erkrankungs- und Strukturdaten'!$C$16,0),A:D,$D$6,FALSE)*'Erkrankungs- und Strukturdaten'!$C$9,0),0)</f>
        <v>1325</v>
      </c>
      <c r="I38" s="5">
        <f>ROUND('Erkrankungs- und Strukturdaten'!$C$9*D38-IF(G38&gt;'Erkrankungs- und Strukturdaten'!$C$15,VLOOKUP(Prognoseergebnis!G38-'Erkrankungs- und Strukturdaten'!$C$15,$A:$D,$D$6,FALSE)*'Erkrankungs- und Strukturdaten'!$C$9,0),0)</f>
        <v>218</v>
      </c>
      <c r="J38" s="5">
        <f>I38*'Erkrankungs- und Strukturdaten'!$C$10/'Erkrankungs- und Strukturdaten'!$C$9</f>
        <v>106.82</v>
      </c>
      <c r="K38" s="5">
        <f>I38*'Erkrankungs- und Strukturdaten'!$C$21</f>
        <v>4360</v>
      </c>
      <c r="L38" s="11"/>
      <c r="N38" s="9"/>
      <c r="O38" s="5">
        <f>IF(AND(((H38/'Erkrankungs- und Strukturdaten'!$C$25)*'Erkrankungs- und Strukturdaten'!$E$27)+(H38/'Erkrankungs- und Strukturdaten'!$C$26)&lt;1,((H38/'Erkrankungs- und Strukturdaten'!$C$25)*'Erkrankungs- und Strukturdaten'!$E$27)+(H38/'Erkrankungs- und Strukturdaten'!$C$26)&gt;0),1,((H38/'Erkrankungs- und Strukturdaten'!$C$25)*'Erkrankungs- und Strukturdaten'!$E$27)+(H38/'Erkrankungs- und Strukturdaten'!$C$26))</f>
        <v>574.16666666666674</v>
      </c>
      <c r="P38" s="5">
        <f>ROUNDUP(((I38/'Erkrankungs- und Strukturdaten'!$C$28)*'Erkrankungs- und Strukturdaten'!$E$30)+(I38/'Erkrankungs- und Strukturdaten'!$C$29),0)</f>
        <v>237</v>
      </c>
      <c r="Q38" s="5">
        <f>ROUNDUP((H38/'Erkrankungs- und Strukturdaten'!$C$34*'Erkrankungs- und Strukturdaten'!$E$36)+(H38/'Erkrankungs- und Strukturdaten'!$C$35),0)</f>
        <v>93</v>
      </c>
      <c r="R38" s="5">
        <f>ROUNDUP((I38*'Erkrankungs- und Strukturdaten'!$C$40/'Erkrankungs- und Strukturdaten'!$C$38*'Erkrankungs- und Strukturdaten'!$E$39)+(I38*(1-'Erkrankungs- und Strukturdaten'!$C$40)/'Erkrankungs- und Strukturdaten'!$C$37*'Erkrankungs- und Strukturdaten'!$E$39),0)</f>
        <v>30</v>
      </c>
      <c r="S38" s="19"/>
      <c r="T38" s="48"/>
      <c r="U38" s="42"/>
      <c r="V38" s="42"/>
    </row>
    <row r="39" spans="1:22" ht="14.85" hidden="1" customHeight="1" x14ac:dyDescent="0.2">
      <c r="A39" s="42">
        <v>30</v>
      </c>
      <c r="B39" s="370"/>
      <c r="C39" s="27">
        <f t="shared" si="1"/>
        <v>44274</v>
      </c>
      <c r="D39" s="6">
        <f>SUMIF('Fallzahlen (Berechnung)'!D:D,"&lt;="&amp;Prognoseergebnis!C39,'Fallzahlen (Berechnung)'!E:E)-'Fallzahlen (Berechnung)'!$E$1</f>
        <v>579999</v>
      </c>
      <c r="E39" s="114">
        <f>VLOOKUP(C39,'Fallzahlen (Berechnung)'!$D:$E,'Fallzahlen (Berechnung)'!$E$1,FALSE)</f>
        <v>1544</v>
      </c>
      <c r="F39" s="56"/>
      <c r="G39" s="18">
        <v>30</v>
      </c>
      <c r="H39" s="6">
        <f>ROUND('Erkrankungs- und Strukturdaten'!$C$8*D39-IF(G39&gt;'Erkrankungs- und Strukturdaten'!$C$14,VLOOKUP(Prognoseergebnis!G39-ROUNDDOWN('Erkrankungs- und Strukturdaten'!$C$14,0),$A:$D,$D$6,FALSE)*'Erkrankungs- und Strukturdaten'!$C$8,0)
+IF(G39&gt;'Erkrankungs- und Strukturdaten'!$C$15,VLOOKUP(Prognoseergebnis!G39-ROUNDDOWN('Erkrankungs- und Strukturdaten'!$C$15,0),A:D,$D$6,FALSE)*'Erkrankungs- und Strukturdaten'!$C$9,0)
-IF(G39&gt;'Erkrankungs- und Strukturdaten'!$C$15+'Erkrankungs- und Strukturdaten'!$C$16,VLOOKUP(Prognoseergebnis!G39-ROUNDDOWN('Erkrankungs- und Strukturdaten'!$C$15-'Erkrankungs- und Strukturdaten'!$C$16,0),A:D,$D$6,FALSE)*'Erkrankungs- und Strukturdaten'!$C$9,0),0)</f>
        <v>1350</v>
      </c>
      <c r="I39" s="6">
        <f>ROUND('Erkrankungs- und Strukturdaten'!$C$9*D39-IF(G39&gt;'Erkrankungs- und Strukturdaten'!$C$15,VLOOKUP(Prognoseergebnis!G39-'Erkrankungs- und Strukturdaten'!$C$15,$A:$D,$D$6,FALSE)*'Erkrankungs- und Strukturdaten'!$C$9,0),0)</f>
        <v>224</v>
      </c>
      <c r="J39" s="6">
        <f>I39*'Erkrankungs- und Strukturdaten'!$C$10/'Erkrankungs- und Strukturdaten'!$C$9</f>
        <v>109.76</v>
      </c>
      <c r="K39" s="6">
        <f>I39*'Erkrankungs- und Strukturdaten'!$C$21</f>
        <v>4480</v>
      </c>
      <c r="L39" s="12"/>
      <c r="N39" s="10"/>
      <c r="O39" s="6">
        <f>IF(AND(((H39/'Erkrankungs- und Strukturdaten'!$C$25)*'Erkrankungs- und Strukturdaten'!$E$27)+(H39/'Erkrankungs- und Strukturdaten'!$C$26)&lt;1,((H39/'Erkrankungs- und Strukturdaten'!$C$25)*'Erkrankungs- und Strukturdaten'!$E$27)+(H39/'Erkrankungs- und Strukturdaten'!$C$26)&gt;0),1,((H39/'Erkrankungs- und Strukturdaten'!$C$25)*'Erkrankungs- und Strukturdaten'!$E$27)+(H39/'Erkrankungs- und Strukturdaten'!$C$26))</f>
        <v>585</v>
      </c>
      <c r="P39" s="6">
        <f>ROUNDUP(((I39/'Erkrankungs- und Strukturdaten'!$C$28)*'Erkrankungs- und Strukturdaten'!$E$30)+(I39/'Erkrankungs- und Strukturdaten'!$C$29),0)</f>
        <v>244</v>
      </c>
      <c r="Q39" s="6">
        <f>ROUNDUP((H39/'Erkrankungs- und Strukturdaten'!$C$34*'Erkrankungs- und Strukturdaten'!$E$36)+(H39/'Erkrankungs- und Strukturdaten'!$C$35),0)</f>
        <v>94</v>
      </c>
      <c r="R39" s="6">
        <f>ROUNDUP((I39*'Erkrankungs- und Strukturdaten'!$C$40/'Erkrankungs- und Strukturdaten'!$C$38*'Erkrankungs- und Strukturdaten'!$E$39)+(I39*(1-'Erkrankungs- und Strukturdaten'!$C$40)/'Erkrankungs- und Strukturdaten'!$C$37*'Erkrankungs- und Strukturdaten'!$E$39),0)</f>
        <v>31</v>
      </c>
      <c r="S39" s="19"/>
      <c r="T39" s="48"/>
      <c r="U39" s="42"/>
      <c r="V39" s="42"/>
    </row>
    <row r="40" spans="1:22" ht="14.85" hidden="1" customHeight="1" x14ac:dyDescent="0.2">
      <c r="A40" s="42">
        <v>31</v>
      </c>
      <c r="B40" s="370"/>
      <c r="C40" s="28">
        <f t="shared" si="1"/>
        <v>44275</v>
      </c>
      <c r="D40" s="5">
        <f>SUMIF('Fallzahlen (Berechnung)'!D:D,"&lt;="&amp;Prognoseergebnis!C40,'Fallzahlen (Berechnung)'!E:E)-'Fallzahlen (Berechnung)'!$E$1</f>
        <v>581110</v>
      </c>
      <c r="E40" s="115">
        <f>VLOOKUP(C40,'Fallzahlen (Berechnung)'!$D:$E,'Fallzahlen (Berechnung)'!$E$1,FALSE)</f>
        <v>1111</v>
      </c>
      <c r="F40" s="56"/>
      <c r="G40" s="18">
        <v>31</v>
      </c>
      <c r="H40" s="5">
        <f>ROUND('Erkrankungs- und Strukturdaten'!$C$8*D40-IF(G40&gt;'Erkrankungs- und Strukturdaten'!$C$14,VLOOKUP(Prognoseergebnis!G40-ROUNDDOWN('Erkrankungs- und Strukturdaten'!$C$14,0),$A:$D,$D$6,FALSE)*'Erkrankungs- und Strukturdaten'!$C$8,0)
+IF(G40&gt;'Erkrankungs- und Strukturdaten'!$C$15,VLOOKUP(Prognoseergebnis!G40-ROUNDDOWN('Erkrankungs- und Strukturdaten'!$C$15,0),A:D,$D$6,FALSE)*'Erkrankungs- und Strukturdaten'!$C$9,0)
-IF(G40&gt;'Erkrankungs- und Strukturdaten'!$C$15+'Erkrankungs- und Strukturdaten'!$C$16,VLOOKUP(Prognoseergebnis!G40-ROUNDDOWN('Erkrankungs- und Strukturdaten'!$C$15-'Erkrankungs- und Strukturdaten'!$C$16,0),A:D,$D$6,FALSE)*'Erkrankungs- und Strukturdaten'!$C$9,0),0)</f>
        <v>1376</v>
      </c>
      <c r="I40" s="5">
        <f>ROUND('Erkrankungs- und Strukturdaten'!$C$9*D40-IF(G40&gt;'Erkrankungs- und Strukturdaten'!$C$15,VLOOKUP(Prognoseergebnis!G40-'Erkrankungs- und Strukturdaten'!$C$15,$A:$D,$D$6,FALSE)*'Erkrankungs- und Strukturdaten'!$C$9,0),0)</f>
        <v>222</v>
      </c>
      <c r="J40" s="5">
        <f>I40*'Erkrankungs- und Strukturdaten'!$C$10/'Erkrankungs- und Strukturdaten'!$C$9</f>
        <v>108.77999999999999</v>
      </c>
      <c r="K40" s="5">
        <f>I40*'Erkrankungs- und Strukturdaten'!$C$21</f>
        <v>4440</v>
      </c>
      <c r="L40" s="11"/>
      <c r="N40" s="9"/>
      <c r="O40" s="5">
        <f>IF(AND(((H40/'Erkrankungs- und Strukturdaten'!$C$25)*'Erkrankungs- und Strukturdaten'!$E$27)+(H40/'Erkrankungs- und Strukturdaten'!$C$26)&lt;1,((H40/'Erkrankungs- und Strukturdaten'!$C$25)*'Erkrankungs- und Strukturdaten'!$E$27)+(H40/'Erkrankungs- und Strukturdaten'!$C$26)&gt;0),1,((H40/'Erkrankungs- und Strukturdaten'!$C$25)*'Erkrankungs- und Strukturdaten'!$E$27)+(H40/'Erkrankungs- und Strukturdaten'!$C$26))</f>
        <v>596.26666666666665</v>
      </c>
      <c r="P40" s="5">
        <f>ROUNDUP(((I40/'Erkrankungs- und Strukturdaten'!$C$28)*'Erkrankungs- und Strukturdaten'!$E$30)+(I40/'Erkrankungs- und Strukturdaten'!$C$29),0)</f>
        <v>242</v>
      </c>
      <c r="Q40" s="5">
        <f>ROUNDUP((H40/'Erkrankungs- und Strukturdaten'!$C$34*'Erkrankungs- und Strukturdaten'!$E$36)+(H40/'Erkrankungs- und Strukturdaten'!$C$35),0)</f>
        <v>96</v>
      </c>
      <c r="R40" s="5">
        <f>ROUNDUP((I40*'Erkrankungs- und Strukturdaten'!$C$40/'Erkrankungs- und Strukturdaten'!$C$38*'Erkrankungs- und Strukturdaten'!$E$39)+(I40*(1-'Erkrankungs- und Strukturdaten'!$C$40)/'Erkrankungs- und Strukturdaten'!$C$37*'Erkrankungs- und Strukturdaten'!$E$39),0)</f>
        <v>31</v>
      </c>
      <c r="S40" s="19"/>
      <c r="T40" s="48"/>
      <c r="U40" s="42"/>
      <c r="V40" s="42"/>
    </row>
    <row r="41" spans="1:22" ht="14.85" hidden="1" customHeight="1" x14ac:dyDescent="0.2">
      <c r="A41" s="42">
        <v>32</v>
      </c>
      <c r="B41" s="370"/>
      <c r="C41" s="27">
        <f t="shared" si="1"/>
        <v>44276</v>
      </c>
      <c r="D41" s="6">
        <f>SUMIF('Fallzahlen (Berechnung)'!D:D,"&lt;="&amp;Prognoseergebnis!C41,'Fallzahlen (Berechnung)'!E:E)-'Fallzahlen (Berechnung)'!$E$1</f>
        <v>581897</v>
      </c>
      <c r="E41" s="114">
        <f>VLOOKUP(C41,'Fallzahlen (Berechnung)'!$D:$E,'Fallzahlen (Berechnung)'!$E$1,FALSE)</f>
        <v>787</v>
      </c>
      <c r="F41" s="56"/>
      <c r="G41" s="18">
        <v>32</v>
      </c>
      <c r="H41" s="6">
        <f>ROUND('Erkrankungs- und Strukturdaten'!$C$8*D41-IF(G41&gt;'Erkrankungs- und Strukturdaten'!$C$14,VLOOKUP(Prognoseergebnis!G41-ROUNDDOWN('Erkrankungs- und Strukturdaten'!$C$14,0),$A:$D,$D$6,FALSE)*'Erkrankungs- und Strukturdaten'!$C$8,0)
+IF(G41&gt;'Erkrankungs- und Strukturdaten'!$C$15,VLOOKUP(Prognoseergebnis!G41-ROUNDDOWN('Erkrankungs- und Strukturdaten'!$C$15,0),A:D,$D$6,FALSE)*'Erkrankungs- und Strukturdaten'!$C$9,0)
-IF(G41&gt;'Erkrankungs- und Strukturdaten'!$C$15+'Erkrankungs- und Strukturdaten'!$C$16,VLOOKUP(Prognoseergebnis!G41-ROUNDDOWN('Erkrankungs- und Strukturdaten'!$C$15-'Erkrankungs- und Strukturdaten'!$C$16,0),A:D,$D$6,FALSE)*'Erkrankungs- und Strukturdaten'!$C$9,0),0)</f>
        <v>1381</v>
      </c>
      <c r="I41" s="6">
        <f>ROUND('Erkrankungs- und Strukturdaten'!$C$9*D41-IF(G41&gt;'Erkrankungs- und Strukturdaten'!$C$15,VLOOKUP(Prognoseergebnis!G41-'Erkrankungs- und Strukturdaten'!$C$15,$A:$D,$D$6,FALSE)*'Erkrankungs- und Strukturdaten'!$C$9,0),0)</f>
        <v>222</v>
      </c>
      <c r="J41" s="6">
        <f>I41*'Erkrankungs- und Strukturdaten'!$C$10/'Erkrankungs- und Strukturdaten'!$C$9</f>
        <v>108.77999999999999</v>
      </c>
      <c r="K41" s="6">
        <f>I41*'Erkrankungs- und Strukturdaten'!$C$21</f>
        <v>4440</v>
      </c>
      <c r="L41" s="11"/>
      <c r="N41" s="9"/>
      <c r="O41" s="6">
        <f>IF(AND(((H41/'Erkrankungs- und Strukturdaten'!$C$25)*'Erkrankungs- und Strukturdaten'!$E$27)+(H41/'Erkrankungs- und Strukturdaten'!$C$26)&lt;1,((H41/'Erkrankungs- und Strukturdaten'!$C$25)*'Erkrankungs- und Strukturdaten'!$E$27)+(H41/'Erkrankungs- und Strukturdaten'!$C$26)&gt;0),1,((H41/'Erkrankungs- und Strukturdaten'!$C$25)*'Erkrankungs- und Strukturdaten'!$E$27)+(H41/'Erkrankungs- und Strukturdaten'!$C$26))</f>
        <v>598.43333333333328</v>
      </c>
      <c r="P41" s="6">
        <f>ROUNDUP(((I41/'Erkrankungs- und Strukturdaten'!$C$28)*'Erkrankungs- und Strukturdaten'!$E$30)+(I41/'Erkrankungs- und Strukturdaten'!$C$29),0)</f>
        <v>242</v>
      </c>
      <c r="Q41" s="6">
        <f>ROUNDUP((H41/'Erkrankungs- und Strukturdaten'!$C$34*'Erkrankungs- und Strukturdaten'!$E$36)+(H41/'Erkrankungs- und Strukturdaten'!$C$35),0)</f>
        <v>96</v>
      </c>
      <c r="R41" s="6">
        <f>ROUNDUP((I41*'Erkrankungs- und Strukturdaten'!$C$40/'Erkrankungs- und Strukturdaten'!$C$38*'Erkrankungs- und Strukturdaten'!$E$39)+(I41*(1-'Erkrankungs- und Strukturdaten'!$C$40)/'Erkrankungs- und Strukturdaten'!$C$37*'Erkrankungs- und Strukturdaten'!$E$39),0)</f>
        <v>31</v>
      </c>
      <c r="S41" s="19"/>
      <c r="T41" s="48"/>
      <c r="U41" s="42"/>
      <c r="V41" s="42"/>
    </row>
    <row r="42" spans="1:22" ht="14.85" hidden="1" customHeight="1" x14ac:dyDescent="0.2">
      <c r="A42" s="42">
        <v>33</v>
      </c>
      <c r="B42" s="370"/>
      <c r="C42" s="28">
        <f t="shared" si="1"/>
        <v>44277</v>
      </c>
      <c r="D42" s="5">
        <f>SUMIF('Fallzahlen (Berechnung)'!D:D,"&lt;="&amp;Prognoseergebnis!C42,'Fallzahlen (Berechnung)'!E:E)-'Fallzahlen (Berechnung)'!$E$1</f>
        <v>584159</v>
      </c>
      <c r="E42" s="115">
        <f>VLOOKUP(C42,'Fallzahlen (Berechnung)'!$D:$E,'Fallzahlen (Berechnung)'!$E$1,FALSE)</f>
        <v>2262</v>
      </c>
      <c r="F42" s="56"/>
      <c r="G42" s="18">
        <v>33</v>
      </c>
      <c r="H42" s="5">
        <f>ROUND('Erkrankungs- und Strukturdaten'!$C$8*D42-IF(G42&gt;'Erkrankungs- und Strukturdaten'!$C$14,VLOOKUP(Prognoseergebnis!G42-ROUNDDOWN('Erkrankungs- und Strukturdaten'!$C$14,0),$A:$D,$D$6,FALSE)*'Erkrankungs- und Strukturdaten'!$C$8,0)
+IF(G42&gt;'Erkrankungs- und Strukturdaten'!$C$15,VLOOKUP(Prognoseergebnis!G42-ROUNDDOWN('Erkrankungs- und Strukturdaten'!$C$15,0),A:D,$D$6,FALSE)*'Erkrankungs- und Strukturdaten'!$C$9,0)
-IF(G42&gt;'Erkrankungs- und Strukturdaten'!$C$15+'Erkrankungs- und Strukturdaten'!$C$16,VLOOKUP(Prognoseergebnis!G42-ROUNDDOWN('Erkrankungs- und Strukturdaten'!$C$15-'Erkrankungs- und Strukturdaten'!$C$16,0),A:D,$D$6,FALSE)*'Erkrankungs- und Strukturdaten'!$C$9,0),0)</f>
        <v>1425</v>
      </c>
      <c r="I42" s="5">
        <f>ROUND('Erkrankungs- und Strukturdaten'!$C$9*D42-IF(G42&gt;'Erkrankungs- und Strukturdaten'!$C$15,VLOOKUP(Prognoseergebnis!G42-'Erkrankungs- und Strukturdaten'!$C$15,$A:$D,$D$6,FALSE)*'Erkrankungs- und Strukturdaten'!$C$9,0),0)</f>
        <v>241</v>
      </c>
      <c r="J42" s="5">
        <f>I42*'Erkrankungs- und Strukturdaten'!$C$10/'Erkrankungs- und Strukturdaten'!$C$9</f>
        <v>118.09</v>
      </c>
      <c r="K42" s="5">
        <f>I42*'Erkrankungs- und Strukturdaten'!$C$21</f>
        <v>4820</v>
      </c>
      <c r="L42" s="11"/>
      <c r="N42" s="9"/>
      <c r="O42" s="5">
        <f>IF(AND(((H42/'Erkrankungs- und Strukturdaten'!$C$25)*'Erkrankungs- und Strukturdaten'!$E$27)+(H42/'Erkrankungs- und Strukturdaten'!$C$26)&lt;1,((H42/'Erkrankungs- und Strukturdaten'!$C$25)*'Erkrankungs- und Strukturdaten'!$E$27)+(H42/'Erkrankungs- und Strukturdaten'!$C$26)&gt;0),1,((H42/'Erkrankungs- und Strukturdaten'!$C$25)*'Erkrankungs- und Strukturdaten'!$E$27)+(H42/'Erkrankungs- und Strukturdaten'!$C$26))</f>
        <v>617.5</v>
      </c>
      <c r="P42" s="5">
        <f>ROUNDUP(((I42/'Erkrankungs- und Strukturdaten'!$C$28)*'Erkrankungs- und Strukturdaten'!$E$30)+(I42/'Erkrankungs- und Strukturdaten'!$C$29),0)</f>
        <v>262</v>
      </c>
      <c r="Q42" s="5">
        <f>ROUNDUP((H42/'Erkrankungs- und Strukturdaten'!$C$34*'Erkrankungs- und Strukturdaten'!$E$36)+(H42/'Erkrankungs- und Strukturdaten'!$C$35),0)</f>
        <v>99</v>
      </c>
      <c r="R42" s="5">
        <f>ROUNDUP((I42*'Erkrankungs- und Strukturdaten'!$C$40/'Erkrankungs- und Strukturdaten'!$C$38*'Erkrankungs- und Strukturdaten'!$E$39)+(I42*(1-'Erkrankungs- und Strukturdaten'!$C$40)/'Erkrankungs- und Strukturdaten'!$C$37*'Erkrankungs- und Strukturdaten'!$E$39),0)</f>
        <v>33</v>
      </c>
      <c r="S42" s="19"/>
      <c r="T42" s="48"/>
      <c r="U42" s="42"/>
      <c r="V42" s="42"/>
    </row>
    <row r="43" spans="1:22" ht="14.85" hidden="1" customHeight="1" x14ac:dyDescent="0.2">
      <c r="A43" s="42">
        <v>34</v>
      </c>
      <c r="B43" s="370"/>
      <c r="C43" s="27">
        <f t="shared" si="1"/>
        <v>44278</v>
      </c>
      <c r="D43" s="6">
        <f>SUMIF('Fallzahlen (Berechnung)'!D:D,"&lt;="&amp;Prognoseergebnis!C43,'Fallzahlen (Berechnung)'!E:E)-'Fallzahlen (Berechnung)'!$E$1</f>
        <v>586153</v>
      </c>
      <c r="E43" s="114">
        <f>VLOOKUP(C43,'Fallzahlen (Berechnung)'!$D:$E,'Fallzahlen (Berechnung)'!$E$1,FALSE)</f>
        <v>1994</v>
      </c>
      <c r="F43" s="56"/>
      <c r="G43" s="18">
        <v>34</v>
      </c>
      <c r="H43" s="6">
        <f>ROUND('Erkrankungs- und Strukturdaten'!$C$8*D43-IF(G43&gt;'Erkrankungs- und Strukturdaten'!$C$14,VLOOKUP(Prognoseergebnis!G43-ROUNDDOWN('Erkrankungs- und Strukturdaten'!$C$14,0),$A:$D,$D$6,FALSE)*'Erkrankungs- und Strukturdaten'!$C$8,0)
+IF(G43&gt;'Erkrankungs- und Strukturdaten'!$C$15,VLOOKUP(Prognoseergebnis!G43-ROUNDDOWN('Erkrankungs- und Strukturdaten'!$C$15,0),A:D,$D$6,FALSE)*'Erkrankungs- und Strukturdaten'!$C$9,0)
-IF(G43&gt;'Erkrankungs- und Strukturdaten'!$C$15+'Erkrankungs- und Strukturdaten'!$C$16,VLOOKUP(Prognoseergebnis!G43-ROUNDDOWN('Erkrankungs- und Strukturdaten'!$C$15-'Erkrankungs- und Strukturdaten'!$C$16,0),A:D,$D$6,FALSE)*'Erkrankungs- und Strukturdaten'!$C$9,0),0)</f>
        <v>1485</v>
      </c>
      <c r="I43" s="6">
        <f>ROUND('Erkrankungs- und Strukturdaten'!$C$9*D43-IF(G43&gt;'Erkrankungs- und Strukturdaten'!$C$15,VLOOKUP(Prognoseergebnis!G43-'Erkrankungs- und Strukturdaten'!$C$15,$A:$D,$D$6,FALSE)*'Erkrankungs- und Strukturdaten'!$C$9,0),0)</f>
        <v>244</v>
      </c>
      <c r="J43" s="6">
        <f>I43*'Erkrankungs- und Strukturdaten'!$C$10/'Erkrankungs- und Strukturdaten'!$C$9</f>
        <v>119.56</v>
      </c>
      <c r="K43" s="6">
        <f>I43*'Erkrankungs- und Strukturdaten'!$C$21</f>
        <v>4880</v>
      </c>
      <c r="L43" s="11"/>
      <c r="N43" s="9"/>
      <c r="O43" s="6">
        <f>IF(AND(((H43/'Erkrankungs- und Strukturdaten'!$C$25)*'Erkrankungs- und Strukturdaten'!$E$27)+(H43/'Erkrankungs- und Strukturdaten'!$C$26)&lt;1,((H43/'Erkrankungs- und Strukturdaten'!$C$25)*'Erkrankungs- und Strukturdaten'!$E$27)+(H43/'Erkrankungs- und Strukturdaten'!$C$26)&gt;0),1,((H43/'Erkrankungs- und Strukturdaten'!$C$25)*'Erkrankungs- und Strukturdaten'!$E$27)+(H43/'Erkrankungs- und Strukturdaten'!$C$26))</f>
        <v>643.5</v>
      </c>
      <c r="P43" s="6">
        <f>ROUNDUP(((I43/'Erkrankungs- und Strukturdaten'!$C$28)*'Erkrankungs- und Strukturdaten'!$E$30)+(I43/'Erkrankungs- und Strukturdaten'!$C$29),0)</f>
        <v>265</v>
      </c>
      <c r="Q43" s="6">
        <f>ROUNDUP((H43/'Erkrankungs- und Strukturdaten'!$C$34*'Erkrankungs- und Strukturdaten'!$E$36)+(H43/'Erkrankungs- und Strukturdaten'!$C$35),0)</f>
        <v>104</v>
      </c>
      <c r="R43" s="6">
        <f>ROUNDUP((I43*'Erkrankungs- und Strukturdaten'!$C$40/'Erkrankungs- und Strukturdaten'!$C$38*'Erkrankungs- und Strukturdaten'!$E$39)+(I43*(1-'Erkrankungs- und Strukturdaten'!$C$40)/'Erkrankungs- und Strukturdaten'!$C$37*'Erkrankungs- und Strukturdaten'!$E$39),0)</f>
        <v>34</v>
      </c>
      <c r="S43" s="19"/>
      <c r="T43" s="48"/>
      <c r="U43" s="42"/>
      <c r="V43" s="42"/>
    </row>
    <row r="44" spans="1:22" ht="14.85" hidden="1" customHeight="1" x14ac:dyDescent="0.2">
      <c r="A44" s="42">
        <v>35</v>
      </c>
      <c r="B44" s="370"/>
      <c r="C44" s="28">
        <f t="shared" si="1"/>
        <v>44279</v>
      </c>
      <c r="D44" s="5">
        <f>SUMIF('Fallzahlen (Berechnung)'!D:D,"&lt;="&amp;Prognoseergebnis!C44,'Fallzahlen (Berechnung)'!E:E)-'Fallzahlen (Berechnung)'!$E$1</f>
        <v>588083</v>
      </c>
      <c r="E44" s="117">
        <f>VLOOKUP(C44,'Fallzahlen (Berechnung)'!$D:$E,'Fallzahlen (Berechnung)'!$E$1,FALSE)</f>
        <v>1930</v>
      </c>
      <c r="F44" s="56"/>
      <c r="G44" s="18">
        <v>35</v>
      </c>
      <c r="H44" s="5">
        <f>ROUND('Erkrankungs- und Strukturdaten'!$C$8*D44-IF(G44&gt;'Erkrankungs- und Strukturdaten'!$C$14,VLOOKUP(Prognoseergebnis!G44-ROUNDDOWN('Erkrankungs- und Strukturdaten'!$C$14,0),$A:$D,$D$6,FALSE)*'Erkrankungs- und Strukturdaten'!$C$8,0)
+IF(G44&gt;'Erkrankungs- und Strukturdaten'!$C$15,VLOOKUP(Prognoseergebnis!G44-ROUNDDOWN('Erkrankungs- und Strukturdaten'!$C$15,0),A:D,$D$6,FALSE)*'Erkrankungs- und Strukturdaten'!$C$9,0)
-IF(G44&gt;'Erkrankungs- und Strukturdaten'!$C$15+'Erkrankungs- und Strukturdaten'!$C$16,VLOOKUP(Prognoseergebnis!G44-ROUNDDOWN('Erkrankungs- und Strukturdaten'!$C$15-'Erkrankungs- und Strukturdaten'!$C$16,0),A:D,$D$6,FALSE)*'Erkrankungs- und Strukturdaten'!$C$9,0),0)</f>
        <v>1493</v>
      </c>
      <c r="I44" s="5">
        <f>ROUND('Erkrankungs- und Strukturdaten'!$C$9*D44-IF(G44&gt;'Erkrankungs- und Strukturdaten'!$C$15,VLOOKUP(Prognoseergebnis!G44-'Erkrankungs- und Strukturdaten'!$C$15,$A:$D,$D$6,FALSE)*'Erkrankungs- und Strukturdaten'!$C$9,0),0)</f>
        <v>250</v>
      </c>
      <c r="J44" s="5">
        <f>I44*'Erkrankungs- und Strukturdaten'!$C$10/'Erkrankungs- und Strukturdaten'!$C$9</f>
        <v>122.49999999999999</v>
      </c>
      <c r="K44" s="5">
        <f>I44*'Erkrankungs- und Strukturdaten'!$C$21</f>
        <v>5000</v>
      </c>
      <c r="L44" s="11"/>
      <c r="N44" s="9"/>
      <c r="O44" s="5">
        <f>IF(AND(((H44/'Erkrankungs- und Strukturdaten'!$C$25)*'Erkrankungs- und Strukturdaten'!$E$27)+(H44/'Erkrankungs- und Strukturdaten'!$C$26)&lt;1,((H44/'Erkrankungs- und Strukturdaten'!$C$25)*'Erkrankungs- und Strukturdaten'!$E$27)+(H44/'Erkrankungs- und Strukturdaten'!$C$26)&gt;0),1,((H44/'Erkrankungs- und Strukturdaten'!$C$25)*'Erkrankungs- und Strukturdaten'!$E$27)+(H44/'Erkrankungs- und Strukturdaten'!$C$26))</f>
        <v>646.9666666666667</v>
      </c>
      <c r="P44" s="5">
        <f>ROUNDUP(((I44/'Erkrankungs- und Strukturdaten'!$C$28)*'Erkrankungs- und Strukturdaten'!$E$30)+(I44/'Erkrankungs- und Strukturdaten'!$C$29),0)</f>
        <v>272</v>
      </c>
      <c r="Q44" s="5">
        <f>ROUNDUP((H44/'Erkrankungs- und Strukturdaten'!$C$34*'Erkrankungs- und Strukturdaten'!$E$36)+(H44/'Erkrankungs- und Strukturdaten'!$C$35),0)</f>
        <v>104</v>
      </c>
      <c r="R44" s="5">
        <f>ROUNDUP((I44*'Erkrankungs- und Strukturdaten'!$C$40/'Erkrankungs- und Strukturdaten'!$C$38*'Erkrankungs- und Strukturdaten'!$E$39)+(I44*(1-'Erkrankungs- und Strukturdaten'!$C$40)/'Erkrankungs- und Strukturdaten'!$C$37*'Erkrankungs- und Strukturdaten'!$E$39),0)</f>
        <v>35</v>
      </c>
      <c r="S44" s="19"/>
      <c r="T44" s="48"/>
      <c r="U44" s="42"/>
      <c r="V44" s="42"/>
    </row>
    <row r="45" spans="1:22" ht="14.85" hidden="1" customHeight="1" x14ac:dyDescent="0.2">
      <c r="A45" s="42">
        <v>36</v>
      </c>
      <c r="B45" s="376" t="s">
        <v>42</v>
      </c>
      <c r="C45" s="27">
        <f t="shared" si="1"/>
        <v>44280</v>
      </c>
      <c r="D45" s="6">
        <f>SUMIF('Fallzahlen (Berechnung)'!D:D,"&lt;="&amp;Prognoseergebnis!C45,'Fallzahlen (Berechnung)'!E:E)-'Fallzahlen (Berechnung)'!$E$1</f>
        <v>590223</v>
      </c>
      <c r="E45" s="118">
        <f>VLOOKUP(C45,'Fallzahlen (Berechnung)'!$D:$E,'Fallzahlen (Berechnung)'!$E$1,FALSE)</f>
        <v>2140</v>
      </c>
      <c r="F45" s="56"/>
      <c r="G45" s="18">
        <v>36</v>
      </c>
      <c r="H45" s="6">
        <f>ROUND('Erkrankungs- und Strukturdaten'!$C$8*D45-IF(G45&gt;'Erkrankungs- und Strukturdaten'!$C$14,VLOOKUP(Prognoseergebnis!G45-ROUNDDOWN('Erkrankungs- und Strukturdaten'!$C$14,0),$A:$D,$D$6,FALSE)*'Erkrankungs- und Strukturdaten'!$C$8,0)
+IF(G45&gt;'Erkrankungs- und Strukturdaten'!$C$15,VLOOKUP(Prognoseergebnis!G45-ROUNDDOWN('Erkrankungs- und Strukturdaten'!$C$15,0),A:D,$D$6,FALSE)*'Erkrankungs- und Strukturdaten'!$C$9,0)
-IF(G45&gt;'Erkrankungs- und Strukturdaten'!$C$15+'Erkrankungs- und Strukturdaten'!$C$16,VLOOKUP(Prognoseergebnis!G45-ROUNDDOWN('Erkrankungs- und Strukturdaten'!$C$15-'Erkrankungs- und Strukturdaten'!$C$16,0),A:D,$D$6,FALSE)*'Erkrankungs- und Strukturdaten'!$C$9,0),0)</f>
        <v>1559</v>
      </c>
      <c r="I45" s="6">
        <f>ROUND('Erkrankungs- und Strukturdaten'!$C$9*D45-IF(G45&gt;'Erkrankungs- und Strukturdaten'!$C$15,VLOOKUP(Prognoseergebnis!G45-'Erkrankungs- und Strukturdaten'!$C$15,$A:$D,$D$6,FALSE)*'Erkrankungs- und Strukturdaten'!$C$9,0),0)</f>
        <v>259</v>
      </c>
      <c r="J45" s="6">
        <f>I45*'Erkrankungs- und Strukturdaten'!$C$10/'Erkrankungs- und Strukturdaten'!$C$9</f>
        <v>126.91</v>
      </c>
      <c r="K45" s="6">
        <f>I45*'Erkrankungs- und Strukturdaten'!$C$21</f>
        <v>5180</v>
      </c>
      <c r="L45" s="11"/>
      <c r="N45" s="9"/>
      <c r="O45" s="6">
        <f>IF(AND(((H45/'Erkrankungs- und Strukturdaten'!$C$25)*'Erkrankungs- und Strukturdaten'!$E$27)+(H45/'Erkrankungs- und Strukturdaten'!$C$26)&lt;1,((H45/'Erkrankungs- und Strukturdaten'!$C$25)*'Erkrankungs- und Strukturdaten'!$E$27)+(H45/'Erkrankungs- und Strukturdaten'!$C$26)&gt;0),1,((H45/'Erkrankungs- und Strukturdaten'!$C$25)*'Erkrankungs- und Strukturdaten'!$E$27)+(H45/'Erkrankungs- und Strukturdaten'!$C$26))</f>
        <v>675.56666666666661</v>
      </c>
      <c r="P45" s="6">
        <f>ROUNDUP(((I45/'Erkrankungs- und Strukturdaten'!$C$28)*'Erkrankungs- und Strukturdaten'!$E$30)+(I45/'Erkrankungs- und Strukturdaten'!$C$29),0)</f>
        <v>282</v>
      </c>
      <c r="Q45" s="6">
        <f>ROUNDUP((H45/'Erkrankungs- und Strukturdaten'!$C$34*'Erkrankungs- und Strukturdaten'!$E$36)+(H45/'Erkrankungs- und Strukturdaten'!$C$35),0)</f>
        <v>109</v>
      </c>
      <c r="R45" s="6">
        <f>ROUNDUP((I45*'Erkrankungs- und Strukturdaten'!$C$40/'Erkrankungs- und Strukturdaten'!$C$38*'Erkrankungs- und Strukturdaten'!$E$39)+(I45*(1-'Erkrankungs- und Strukturdaten'!$C$40)/'Erkrankungs- und Strukturdaten'!$C$37*'Erkrankungs- und Strukturdaten'!$E$39),0)</f>
        <v>36</v>
      </c>
      <c r="S45" s="19"/>
      <c r="T45" s="48"/>
      <c r="U45" s="42"/>
      <c r="V45" s="42"/>
    </row>
    <row r="46" spans="1:22" ht="14.85" hidden="1" customHeight="1" x14ac:dyDescent="0.2">
      <c r="A46" s="42">
        <v>37</v>
      </c>
      <c r="B46" s="371"/>
      <c r="C46" s="28">
        <f t="shared" si="1"/>
        <v>44281</v>
      </c>
      <c r="D46" s="5">
        <f>SUMIF('Fallzahlen (Berechnung)'!D:D,"&lt;="&amp;Prognoseergebnis!C46,'Fallzahlen (Berechnung)'!E:E)-'Fallzahlen (Berechnung)'!$E$1</f>
        <v>592220</v>
      </c>
      <c r="E46" s="115">
        <f>VLOOKUP(C46,'Fallzahlen (Berechnung)'!$D:$E,'Fallzahlen (Berechnung)'!$E$1,FALSE)</f>
        <v>1997</v>
      </c>
      <c r="F46" s="56"/>
      <c r="G46" s="18">
        <v>37</v>
      </c>
      <c r="H46" s="5">
        <f>ROUND('Erkrankungs- und Strukturdaten'!$C$8*D46-IF(G46&gt;'Erkrankungs- und Strukturdaten'!$C$14,VLOOKUP(Prognoseergebnis!G46-ROUNDDOWN('Erkrankungs- und Strukturdaten'!$C$14,0),$A:$D,$D$6,FALSE)*'Erkrankungs- und Strukturdaten'!$C$8,0)
+IF(G46&gt;'Erkrankungs- und Strukturdaten'!$C$15,VLOOKUP(Prognoseergebnis!G46-ROUNDDOWN('Erkrankungs- und Strukturdaten'!$C$15,0),A:D,$D$6,FALSE)*'Erkrankungs- und Strukturdaten'!$C$9,0)
-IF(G46&gt;'Erkrankungs- und Strukturdaten'!$C$15+'Erkrankungs- und Strukturdaten'!$C$16,VLOOKUP(Prognoseergebnis!G46-ROUNDDOWN('Erkrankungs- und Strukturdaten'!$C$15-'Erkrankungs- und Strukturdaten'!$C$16,0),A:D,$D$6,FALSE)*'Erkrankungs- und Strukturdaten'!$C$9,0),0)</f>
        <v>1617</v>
      </c>
      <c r="I46" s="5">
        <f>ROUND('Erkrankungs- und Strukturdaten'!$C$9*D46-IF(G46&gt;'Erkrankungs- und Strukturdaten'!$C$15,VLOOKUP(Prognoseergebnis!G46-'Erkrankungs- und Strukturdaten'!$C$15,$A:$D,$D$6,FALSE)*'Erkrankungs- und Strukturdaten'!$C$9,0),0)</f>
        <v>266</v>
      </c>
      <c r="J46" s="5">
        <f>I46*'Erkrankungs- und Strukturdaten'!$C$10/'Erkrankungs- und Strukturdaten'!$C$9</f>
        <v>130.34</v>
      </c>
      <c r="K46" s="5">
        <f>I46*'Erkrankungs- und Strukturdaten'!$C$21</f>
        <v>5320</v>
      </c>
      <c r="L46" s="12"/>
      <c r="N46" s="10"/>
      <c r="O46" s="5">
        <f>IF(AND(((H46/'Erkrankungs- und Strukturdaten'!$C$25)*'Erkrankungs- und Strukturdaten'!$E$27)+(H46/'Erkrankungs- und Strukturdaten'!$C$26)&lt;1,((H46/'Erkrankungs- und Strukturdaten'!$C$25)*'Erkrankungs- und Strukturdaten'!$E$27)+(H46/'Erkrankungs- und Strukturdaten'!$C$26)&gt;0),1,((H46/'Erkrankungs- und Strukturdaten'!$C$25)*'Erkrankungs- und Strukturdaten'!$E$27)+(H46/'Erkrankungs- und Strukturdaten'!$C$26))</f>
        <v>700.7</v>
      </c>
      <c r="P46" s="5">
        <f>ROUNDUP(((I46/'Erkrankungs- und Strukturdaten'!$C$28)*'Erkrankungs- und Strukturdaten'!$E$30)+(I46/'Erkrankungs- und Strukturdaten'!$C$29),0)</f>
        <v>289</v>
      </c>
      <c r="Q46" s="5">
        <f>ROUNDUP((H46/'Erkrankungs- und Strukturdaten'!$C$34*'Erkrankungs- und Strukturdaten'!$E$36)+(H46/'Erkrankungs- und Strukturdaten'!$C$35),0)</f>
        <v>113</v>
      </c>
      <c r="R46" s="5">
        <f>ROUNDUP((I46*'Erkrankungs- und Strukturdaten'!$C$40/'Erkrankungs- und Strukturdaten'!$C$38*'Erkrankungs- und Strukturdaten'!$E$39)+(I46*(1-'Erkrankungs- und Strukturdaten'!$C$40)/'Erkrankungs- und Strukturdaten'!$C$37*'Erkrankungs- und Strukturdaten'!$E$39),0)</f>
        <v>37</v>
      </c>
      <c r="S46" s="19"/>
      <c r="T46" s="48"/>
      <c r="U46" s="42"/>
      <c r="V46" s="42"/>
    </row>
    <row r="47" spans="1:22" ht="14.85" hidden="1" customHeight="1" x14ac:dyDescent="0.2">
      <c r="A47" s="42">
        <v>38</v>
      </c>
      <c r="B47" s="371"/>
      <c r="C47" s="27">
        <f t="shared" si="1"/>
        <v>44282</v>
      </c>
      <c r="D47" s="6">
        <f>SUMIF('Fallzahlen (Berechnung)'!D:D,"&lt;="&amp;Prognoseergebnis!C47,'Fallzahlen (Berechnung)'!E:E)-'Fallzahlen (Berechnung)'!$E$1</f>
        <v>593428</v>
      </c>
      <c r="E47" s="114">
        <f>VLOOKUP(C47,'Fallzahlen (Berechnung)'!$D:$E,'Fallzahlen (Berechnung)'!$E$1,FALSE)</f>
        <v>1208</v>
      </c>
      <c r="F47" s="56"/>
      <c r="G47" s="18">
        <v>38</v>
      </c>
      <c r="H47" s="6">
        <f>ROUND('Erkrankungs- und Strukturdaten'!$C$8*D47-IF(G47&gt;'Erkrankungs- und Strukturdaten'!$C$14,VLOOKUP(Prognoseergebnis!G47-ROUNDDOWN('Erkrankungs- und Strukturdaten'!$C$14,0),$A:$D,$D$6,FALSE)*'Erkrankungs- und Strukturdaten'!$C$8,0)
+IF(G47&gt;'Erkrankungs- und Strukturdaten'!$C$15,VLOOKUP(Prognoseergebnis!G47-ROUNDDOWN('Erkrankungs- und Strukturdaten'!$C$15,0),A:D,$D$6,FALSE)*'Erkrankungs- und Strukturdaten'!$C$9,0)
-IF(G47&gt;'Erkrankungs- und Strukturdaten'!$C$15+'Erkrankungs- und Strukturdaten'!$C$16,VLOOKUP(Prognoseergebnis!G47-ROUNDDOWN('Erkrankungs- und Strukturdaten'!$C$15-'Erkrankungs- und Strukturdaten'!$C$16,0),A:D,$D$6,FALSE)*'Erkrankungs- und Strukturdaten'!$C$9,0),0)</f>
        <v>1627</v>
      </c>
      <c r="I47" s="6">
        <f>ROUND('Erkrankungs- und Strukturdaten'!$C$9*D47-IF(G47&gt;'Erkrankungs- und Strukturdaten'!$C$15,VLOOKUP(Prognoseergebnis!G47-'Erkrankungs- und Strukturdaten'!$C$15,$A:$D,$D$6,FALSE)*'Erkrankungs- und Strukturdaten'!$C$9,0),0)</f>
        <v>265</v>
      </c>
      <c r="J47" s="6">
        <f>I47*'Erkrankungs- und Strukturdaten'!$C$10/'Erkrankungs- und Strukturdaten'!$C$9</f>
        <v>129.85</v>
      </c>
      <c r="K47" s="6">
        <f>I47*'Erkrankungs- und Strukturdaten'!$C$21</f>
        <v>5300</v>
      </c>
      <c r="L47" s="11"/>
      <c r="N47" s="9"/>
      <c r="O47" s="6">
        <f>IF(AND(((H47/'Erkrankungs- und Strukturdaten'!$C$25)*'Erkrankungs- und Strukturdaten'!$E$27)+(H47/'Erkrankungs- und Strukturdaten'!$C$26)&lt;1,((H47/'Erkrankungs- und Strukturdaten'!$C$25)*'Erkrankungs- und Strukturdaten'!$E$27)+(H47/'Erkrankungs- und Strukturdaten'!$C$26)&gt;0),1,((H47/'Erkrankungs- und Strukturdaten'!$C$25)*'Erkrankungs- und Strukturdaten'!$E$27)+(H47/'Erkrankungs- und Strukturdaten'!$C$26))</f>
        <v>705.0333333333333</v>
      </c>
      <c r="P47" s="6">
        <f>ROUNDUP(((I47/'Erkrankungs- und Strukturdaten'!$C$28)*'Erkrankungs- und Strukturdaten'!$E$30)+(I47/'Erkrankungs- und Strukturdaten'!$C$29),0)</f>
        <v>288</v>
      </c>
      <c r="Q47" s="6">
        <f>ROUNDUP((H47/'Erkrankungs- und Strukturdaten'!$C$34*'Erkrankungs- und Strukturdaten'!$E$36)+(H47/'Erkrankungs- und Strukturdaten'!$C$35),0)</f>
        <v>113</v>
      </c>
      <c r="R47" s="6">
        <f>ROUNDUP((I47*'Erkrankungs- und Strukturdaten'!$C$40/'Erkrankungs- und Strukturdaten'!$C$38*'Erkrankungs- und Strukturdaten'!$E$39)+(I47*(1-'Erkrankungs- und Strukturdaten'!$C$40)/'Erkrankungs- und Strukturdaten'!$C$37*'Erkrankungs- und Strukturdaten'!$E$39),0)</f>
        <v>37</v>
      </c>
      <c r="S47" s="19"/>
      <c r="T47" s="48"/>
      <c r="U47" s="42"/>
      <c r="V47" s="42"/>
    </row>
    <row r="48" spans="1:22" ht="14.85" hidden="1" customHeight="1" x14ac:dyDescent="0.2">
      <c r="A48" s="42">
        <v>39</v>
      </c>
      <c r="B48" s="371"/>
      <c r="C48" s="28">
        <f t="shared" si="1"/>
        <v>44283</v>
      </c>
      <c r="D48" s="5">
        <f>SUMIF('Fallzahlen (Berechnung)'!D:D,"&lt;="&amp;Prognoseergebnis!C48,'Fallzahlen (Berechnung)'!E:E)-'Fallzahlen (Berechnung)'!$E$1</f>
        <v>594424</v>
      </c>
      <c r="E48" s="115">
        <f>VLOOKUP(C48,'Fallzahlen (Berechnung)'!$D:$E,'Fallzahlen (Berechnung)'!$E$1,FALSE)</f>
        <v>996</v>
      </c>
      <c r="F48" s="56"/>
      <c r="G48" s="18">
        <v>39</v>
      </c>
      <c r="H48" s="5">
        <f>ROUND('Erkrankungs- und Strukturdaten'!$C$8*D48-IF(G48&gt;'Erkrankungs- und Strukturdaten'!$C$14,VLOOKUP(Prognoseergebnis!G48-ROUNDDOWN('Erkrankungs- und Strukturdaten'!$C$14,0),$A:$D,$D$6,FALSE)*'Erkrankungs- und Strukturdaten'!$C$8,0)
+IF(G48&gt;'Erkrankungs- und Strukturdaten'!$C$15,VLOOKUP(Prognoseergebnis!G48-ROUNDDOWN('Erkrankungs- und Strukturdaten'!$C$15,0),A:D,$D$6,FALSE)*'Erkrankungs- und Strukturdaten'!$C$9,0)
-IF(G48&gt;'Erkrankungs- und Strukturdaten'!$C$15+'Erkrankungs- und Strukturdaten'!$C$16,VLOOKUP(Prognoseergebnis!G48-ROUNDDOWN('Erkrankungs- und Strukturdaten'!$C$15-'Erkrankungs- und Strukturdaten'!$C$16,0),A:D,$D$6,FALSE)*'Erkrankungs- und Strukturdaten'!$C$9,0),0)</f>
        <v>1650</v>
      </c>
      <c r="I48" s="5">
        <f>ROUND('Erkrankungs- und Strukturdaten'!$C$9*D48-IF(G48&gt;'Erkrankungs- und Strukturdaten'!$C$15,VLOOKUP(Prognoseergebnis!G48-'Erkrankungs- und Strukturdaten'!$C$15,$A:$D,$D$6,FALSE)*'Erkrankungs- und Strukturdaten'!$C$9,0),0)</f>
        <v>266</v>
      </c>
      <c r="J48" s="5">
        <f>I48*'Erkrankungs- und Strukturdaten'!$C$10/'Erkrankungs- und Strukturdaten'!$C$9</f>
        <v>130.34</v>
      </c>
      <c r="K48" s="5">
        <f>I48*'Erkrankungs- und Strukturdaten'!$C$21</f>
        <v>5320</v>
      </c>
      <c r="L48" s="11"/>
      <c r="N48" s="9"/>
      <c r="O48" s="5">
        <f>IF(AND(((H48/'Erkrankungs- und Strukturdaten'!$C$25)*'Erkrankungs- und Strukturdaten'!$E$27)+(H48/'Erkrankungs- und Strukturdaten'!$C$26)&lt;1,((H48/'Erkrankungs- und Strukturdaten'!$C$25)*'Erkrankungs- und Strukturdaten'!$E$27)+(H48/'Erkrankungs- und Strukturdaten'!$C$26)&gt;0),1,((H48/'Erkrankungs- und Strukturdaten'!$C$25)*'Erkrankungs- und Strukturdaten'!$E$27)+(H48/'Erkrankungs- und Strukturdaten'!$C$26))</f>
        <v>715</v>
      </c>
      <c r="P48" s="5">
        <f>ROUNDUP(((I48/'Erkrankungs- und Strukturdaten'!$C$28)*'Erkrankungs- und Strukturdaten'!$E$30)+(I48/'Erkrankungs- und Strukturdaten'!$C$29),0)</f>
        <v>289</v>
      </c>
      <c r="Q48" s="5">
        <f>ROUNDUP((H48/'Erkrankungs- und Strukturdaten'!$C$34*'Erkrankungs- und Strukturdaten'!$E$36)+(H48/'Erkrankungs- und Strukturdaten'!$C$35),0)</f>
        <v>115</v>
      </c>
      <c r="R48" s="5">
        <f>ROUNDUP((I48*'Erkrankungs- und Strukturdaten'!$C$40/'Erkrankungs- und Strukturdaten'!$C$38*'Erkrankungs- und Strukturdaten'!$E$39)+(I48*(1-'Erkrankungs- und Strukturdaten'!$C$40)/'Erkrankungs- und Strukturdaten'!$C$37*'Erkrankungs- und Strukturdaten'!$E$39),0)</f>
        <v>37</v>
      </c>
      <c r="S48" s="19"/>
      <c r="T48" s="48"/>
      <c r="U48" s="42"/>
      <c r="V48" s="42"/>
    </row>
    <row r="49" spans="1:22" ht="14.85" hidden="1" customHeight="1" x14ac:dyDescent="0.2">
      <c r="A49" s="42">
        <v>40</v>
      </c>
      <c r="B49" s="371"/>
      <c r="C49" s="27">
        <f t="shared" si="1"/>
        <v>44284</v>
      </c>
      <c r="D49" s="6">
        <f>SUMIF('Fallzahlen (Berechnung)'!D:D,"&lt;="&amp;Prognoseergebnis!C49,'Fallzahlen (Berechnung)'!E:E)-'Fallzahlen (Berechnung)'!$E$1</f>
        <v>596956</v>
      </c>
      <c r="E49" s="114">
        <f>VLOOKUP(C49,'Fallzahlen (Berechnung)'!$D:$E,'Fallzahlen (Berechnung)'!$E$1,FALSE)</f>
        <v>2532</v>
      </c>
      <c r="F49" s="56"/>
      <c r="G49" s="18">
        <v>40</v>
      </c>
      <c r="H49" s="6">
        <f>ROUND('Erkrankungs- und Strukturdaten'!$C$8*D49-IF(G49&gt;'Erkrankungs- und Strukturdaten'!$C$14,VLOOKUP(Prognoseergebnis!G49-ROUNDDOWN('Erkrankungs- und Strukturdaten'!$C$14,0),$A:$D,$D$6,FALSE)*'Erkrankungs- und Strukturdaten'!$C$8,0)
+IF(G49&gt;'Erkrankungs- und Strukturdaten'!$C$15,VLOOKUP(Prognoseergebnis!G49-ROUNDDOWN('Erkrankungs- und Strukturdaten'!$C$15,0),A:D,$D$6,FALSE)*'Erkrankungs- und Strukturdaten'!$C$9,0)
-IF(G49&gt;'Erkrankungs- und Strukturdaten'!$C$15+'Erkrankungs- und Strukturdaten'!$C$16,VLOOKUP(Prognoseergebnis!G49-ROUNDDOWN('Erkrankungs- und Strukturdaten'!$C$15-'Erkrankungs- und Strukturdaten'!$C$16,0),A:D,$D$6,FALSE)*'Erkrankungs- und Strukturdaten'!$C$9,0),0)</f>
        <v>1683</v>
      </c>
      <c r="I49" s="6">
        <f>ROUND('Erkrankungs- und Strukturdaten'!$C$9*D49-IF(G49&gt;'Erkrankungs- und Strukturdaten'!$C$15,VLOOKUP(Prognoseergebnis!G49-'Erkrankungs- und Strukturdaten'!$C$15,$A:$D,$D$6,FALSE)*'Erkrankungs- und Strukturdaten'!$C$9,0),0)</f>
        <v>286</v>
      </c>
      <c r="J49" s="6">
        <f>I49*'Erkrankungs- und Strukturdaten'!$C$10/'Erkrankungs- und Strukturdaten'!$C$9</f>
        <v>140.14000000000001</v>
      </c>
      <c r="K49" s="6">
        <f>I49*'Erkrankungs- und Strukturdaten'!$C$21</f>
        <v>5720</v>
      </c>
      <c r="L49" s="11"/>
      <c r="N49" s="9"/>
      <c r="O49" s="6">
        <f>IF(AND(((H49/'Erkrankungs- und Strukturdaten'!$C$25)*'Erkrankungs- und Strukturdaten'!$E$27)+(H49/'Erkrankungs- und Strukturdaten'!$C$26)&lt;1,((H49/'Erkrankungs- und Strukturdaten'!$C$25)*'Erkrankungs- und Strukturdaten'!$E$27)+(H49/'Erkrankungs- und Strukturdaten'!$C$26)&gt;0),1,((H49/'Erkrankungs- und Strukturdaten'!$C$25)*'Erkrankungs- und Strukturdaten'!$E$27)+(H49/'Erkrankungs- und Strukturdaten'!$C$26))</f>
        <v>729.3</v>
      </c>
      <c r="P49" s="6">
        <f>ROUNDUP(((I49/'Erkrankungs- und Strukturdaten'!$C$28)*'Erkrankungs- und Strukturdaten'!$E$30)+(I49/'Erkrankungs- und Strukturdaten'!$C$29),0)</f>
        <v>311</v>
      </c>
      <c r="Q49" s="6">
        <f>ROUNDUP((H49/'Erkrankungs- und Strukturdaten'!$C$34*'Erkrankungs- und Strukturdaten'!$E$36)+(H49/'Erkrankungs- und Strukturdaten'!$C$35),0)</f>
        <v>117</v>
      </c>
      <c r="R49" s="6">
        <f>ROUNDUP((I49*'Erkrankungs- und Strukturdaten'!$C$40/'Erkrankungs- und Strukturdaten'!$C$38*'Erkrankungs- und Strukturdaten'!$E$39)+(I49*(1-'Erkrankungs- und Strukturdaten'!$C$40)/'Erkrankungs- und Strukturdaten'!$C$37*'Erkrankungs- und Strukturdaten'!$E$39),0)</f>
        <v>40</v>
      </c>
      <c r="S49" s="19"/>
      <c r="T49" s="48"/>
      <c r="U49" s="42"/>
      <c r="V49" s="42"/>
    </row>
    <row r="50" spans="1:22" ht="14.85" hidden="1" customHeight="1" x14ac:dyDescent="0.2">
      <c r="A50" s="42">
        <v>41</v>
      </c>
      <c r="B50" s="371"/>
      <c r="C50" s="28">
        <f t="shared" si="1"/>
        <v>44285</v>
      </c>
      <c r="D50" s="5">
        <f>SUMIF('Fallzahlen (Berechnung)'!D:D,"&lt;="&amp;Prognoseergebnis!C50,'Fallzahlen (Berechnung)'!E:E)-'Fallzahlen (Berechnung)'!$E$1</f>
        <v>599049</v>
      </c>
      <c r="E50" s="115">
        <f>VLOOKUP(C50,'Fallzahlen (Berechnung)'!$D:$E,'Fallzahlen (Berechnung)'!$E$1,FALSE)</f>
        <v>2093</v>
      </c>
      <c r="F50" s="56"/>
      <c r="G50" s="18">
        <v>41</v>
      </c>
      <c r="H50" s="5">
        <f>ROUND('Erkrankungs- und Strukturdaten'!$C$8*D50-IF(G50&gt;'Erkrankungs- und Strukturdaten'!$C$14,VLOOKUP(Prognoseergebnis!G50-ROUNDDOWN('Erkrankungs- und Strukturdaten'!$C$14,0),$A:$D,$D$6,FALSE)*'Erkrankungs- und Strukturdaten'!$C$8,0)
+IF(G50&gt;'Erkrankungs- und Strukturdaten'!$C$15,VLOOKUP(Prognoseergebnis!G50-ROUNDDOWN('Erkrankungs- und Strukturdaten'!$C$15,0),A:D,$D$6,FALSE)*'Erkrankungs- und Strukturdaten'!$C$9,0)
-IF(G50&gt;'Erkrankungs- und Strukturdaten'!$C$15+'Erkrankungs- und Strukturdaten'!$C$16,VLOOKUP(Prognoseergebnis!G50-ROUNDDOWN('Erkrankungs- und Strukturdaten'!$C$15-'Erkrankungs- und Strukturdaten'!$C$16,0),A:D,$D$6,FALSE)*'Erkrankungs- und Strukturdaten'!$C$9,0),0)</f>
        <v>1710</v>
      </c>
      <c r="I50" s="5">
        <f>ROUND('Erkrankungs- und Strukturdaten'!$C$9*D50-IF(G50&gt;'Erkrankungs- und Strukturdaten'!$C$15,VLOOKUP(Prognoseergebnis!G50-'Erkrankungs- und Strukturdaten'!$C$15,$A:$D,$D$6,FALSE)*'Erkrankungs- und Strukturdaten'!$C$9,0),0)</f>
        <v>288</v>
      </c>
      <c r="J50" s="5">
        <f>I50*'Erkrankungs- und Strukturdaten'!$C$10/'Erkrankungs- und Strukturdaten'!$C$9</f>
        <v>141.12</v>
      </c>
      <c r="K50" s="5">
        <f>I50*'Erkrankungs- und Strukturdaten'!$C$21</f>
        <v>5760</v>
      </c>
      <c r="L50" s="11"/>
      <c r="N50" s="9"/>
      <c r="O50" s="5">
        <f>IF(AND(((H50/'Erkrankungs- und Strukturdaten'!$C$25)*'Erkrankungs- und Strukturdaten'!$E$27)+(H50/'Erkrankungs- und Strukturdaten'!$C$26)&lt;1,((H50/'Erkrankungs- und Strukturdaten'!$C$25)*'Erkrankungs- und Strukturdaten'!$E$27)+(H50/'Erkrankungs- und Strukturdaten'!$C$26)&gt;0),1,((H50/'Erkrankungs- und Strukturdaten'!$C$25)*'Erkrankungs- und Strukturdaten'!$E$27)+(H50/'Erkrankungs- und Strukturdaten'!$C$26))</f>
        <v>741</v>
      </c>
      <c r="P50" s="5">
        <f>ROUNDUP(((I50/'Erkrankungs- und Strukturdaten'!$C$28)*'Erkrankungs- und Strukturdaten'!$E$30)+(I50/'Erkrankungs- und Strukturdaten'!$C$29),0)</f>
        <v>313</v>
      </c>
      <c r="Q50" s="5">
        <f>ROUNDUP((H50/'Erkrankungs- und Strukturdaten'!$C$34*'Erkrankungs- und Strukturdaten'!$E$36)+(H50/'Erkrankungs- und Strukturdaten'!$C$35),0)</f>
        <v>119</v>
      </c>
      <c r="R50" s="5">
        <f>ROUNDUP((I50*'Erkrankungs- und Strukturdaten'!$C$40/'Erkrankungs- und Strukturdaten'!$C$38*'Erkrankungs- und Strukturdaten'!$E$39)+(I50*(1-'Erkrankungs- und Strukturdaten'!$C$40)/'Erkrankungs- und Strukturdaten'!$C$37*'Erkrankungs- und Strukturdaten'!$E$39),0)</f>
        <v>40</v>
      </c>
      <c r="S50" s="19"/>
      <c r="T50" s="48"/>
      <c r="U50" s="42"/>
      <c r="V50" s="42"/>
    </row>
    <row r="51" spans="1:22" ht="14.85" hidden="1" customHeight="1" x14ac:dyDescent="0.2">
      <c r="A51" s="42">
        <v>42</v>
      </c>
      <c r="B51" s="371"/>
      <c r="C51" s="27">
        <f t="shared" si="1"/>
        <v>44286</v>
      </c>
      <c r="D51" s="6">
        <f>SUMIF('Fallzahlen (Berechnung)'!D:D,"&lt;="&amp;Prognoseergebnis!C51,'Fallzahlen (Berechnung)'!E:E)-'Fallzahlen (Berechnung)'!$E$1</f>
        <v>601181</v>
      </c>
      <c r="E51" s="119">
        <f>VLOOKUP(C51,'Fallzahlen (Berechnung)'!$D:$E,'Fallzahlen (Berechnung)'!$E$1,FALSE)</f>
        <v>2132</v>
      </c>
      <c r="F51" s="56"/>
      <c r="G51" s="18">
        <v>42</v>
      </c>
      <c r="H51" s="6">
        <f>ROUND('Erkrankungs- und Strukturdaten'!$C$8*D51-IF(G51&gt;'Erkrankungs- und Strukturdaten'!$C$14,VLOOKUP(Prognoseergebnis!G51-ROUNDDOWN('Erkrankungs- und Strukturdaten'!$C$14,0),$A:$D,$D$6,FALSE)*'Erkrankungs- und Strukturdaten'!$C$8,0)
+IF(G51&gt;'Erkrankungs- und Strukturdaten'!$C$15,VLOOKUP(Prognoseergebnis!G51-ROUNDDOWN('Erkrankungs- und Strukturdaten'!$C$15,0),A:D,$D$6,FALSE)*'Erkrankungs- und Strukturdaten'!$C$9,0)
-IF(G51&gt;'Erkrankungs- und Strukturdaten'!$C$15+'Erkrankungs- und Strukturdaten'!$C$16,VLOOKUP(Prognoseergebnis!G51-ROUNDDOWN('Erkrankungs- und Strukturdaten'!$C$15-'Erkrankungs- und Strukturdaten'!$C$16,0),A:D,$D$6,FALSE)*'Erkrankungs- und Strukturdaten'!$C$9,0),0)</f>
        <v>1731</v>
      </c>
      <c r="I51" s="6">
        <f>ROUND('Erkrankungs- und Strukturdaten'!$C$9*D51-IF(G51&gt;'Erkrankungs- und Strukturdaten'!$C$15,VLOOKUP(Prognoseergebnis!G51-'Erkrankungs- und Strukturdaten'!$C$15,$A:$D,$D$6,FALSE)*'Erkrankungs- und Strukturdaten'!$C$9,0),0)</f>
        <v>293</v>
      </c>
      <c r="J51" s="6">
        <f>I51*'Erkrankungs- und Strukturdaten'!$C$10/'Erkrankungs- und Strukturdaten'!$C$9</f>
        <v>143.57</v>
      </c>
      <c r="K51" s="6">
        <f>I51*'Erkrankungs- und Strukturdaten'!$C$21</f>
        <v>5860</v>
      </c>
      <c r="L51" s="11"/>
      <c r="N51" s="9"/>
      <c r="O51" s="6">
        <f>IF(AND(((H51/'Erkrankungs- und Strukturdaten'!$C$25)*'Erkrankungs- und Strukturdaten'!$E$27)+(H51/'Erkrankungs- und Strukturdaten'!$C$26)&lt;1,((H51/'Erkrankungs- und Strukturdaten'!$C$25)*'Erkrankungs- und Strukturdaten'!$E$27)+(H51/'Erkrankungs- und Strukturdaten'!$C$26)&gt;0),1,((H51/'Erkrankungs- und Strukturdaten'!$C$25)*'Erkrankungs- und Strukturdaten'!$E$27)+(H51/'Erkrankungs- und Strukturdaten'!$C$26))</f>
        <v>750.1</v>
      </c>
      <c r="P51" s="6">
        <f>ROUNDUP(((I51/'Erkrankungs- und Strukturdaten'!$C$28)*'Erkrankungs- und Strukturdaten'!$E$30)+(I51/'Erkrankungs- und Strukturdaten'!$C$29),0)</f>
        <v>319</v>
      </c>
      <c r="Q51" s="6">
        <f>ROUNDUP((H51/'Erkrankungs- und Strukturdaten'!$C$34*'Erkrankungs- und Strukturdaten'!$E$36)+(H51/'Erkrankungs- und Strukturdaten'!$C$35),0)</f>
        <v>121</v>
      </c>
      <c r="R51" s="6">
        <f>ROUNDUP((I51*'Erkrankungs- und Strukturdaten'!$C$40/'Erkrankungs- und Strukturdaten'!$C$38*'Erkrankungs- und Strukturdaten'!$E$39)+(I51*(1-'Erkrankungs- und Strukturdaten'!$C$40)/'Erkrankungs- und Strukturdaten'!$C$37*'Erkrankungs- und Strukturdaten'!$E$39),0)</f>
        <v>41</v>
      </c>
      <c r="S51" s="19"/>
      <c r="T51" s="48"/>
      <c r="U51" s="42"/>
      <c r="V51" s="42"/>
    </row>
    <row r="52" spans="1:22" ht="14.85" hidden="1" customHeight="1" x14ac:dyDescent="0.2">
      <c r="A52" s="42">
        <v>43</v>
      </c>
      <c r="B52" s="378" t="s">
        <v>41</v>
      </c>
      <c r="C52" s="28">
        <f t="shared" si="1"/>
        <v>44287</v>
      </c>
      <c r="D52" s="5">
        <f>SUMIF('Fallzahlen (Berechnung)'!D:D,"&lt;="&amp;Prognoseergebnis!C52,'Fallzahlen (Berechnung)'!E:E)-'Fallzahlen (Berechnung)'!$E$1</f>
        <v>603165</v>
      </c>
      <c r="E52" s="116">
        <f>VLOOKUP(C52,'Fallzahlen (Berechnung)'!$D:$E,'Fallzahlen (Berechnung)'!$E$1,FALSE)</f>
        <v>1984</v>
      </c>
      <c r="F52" s="26"/>
      <c r="G52" s="18">
        <v>43</v>
      </c>
      <c r="H52" s="5">
        <f>ROUND('Erkrankungs- und Strukturdaten'!$C$8*D52-IF(G52&gt;'Erkrankungs- und Strukturdaten'!$C$14,VLOOKUP(Prognoseergebnis!G52-ROUNDDOWN('Erkrankungs- und Strukturdaten'!$C$14,0),$A:$D,$D$6,FALSE)*'Erkrankungs- und Strukturdaten'!$C$8,0)
+IF(G52&gt;'Erkrankungs- und Strukturdaten'!$C$15,VLOOKUP(Prognoseergebnis!G52-ROUNDDOWN('Erkrankungs- und Strukturdaten'!$C$15,0),A:D,$D$6,FALSE)*'Erkrankungs- und Strukturdaten'!$C$9,0)
-IF(G52&gt;'Erkrankungs- und Strukturdaten'!$C$15+'Erkrankungs- und Strukturdaten'!$C$16,VLOOKUP(Prognoseergebnis!G52-ROUNDDOWN('Erkrankungs- und Strukturdaten'!$C$15-'Erkrankungs- und Strukturdaten'!$C$16,0),A:D,$D$6,FALSE)*'Erkrankungs- und Strukturdaten'!$C$9,0),0)</f>
        <v>1707</v>
      </c>
      <c r="I52" s="5">
        <f>ROUND('Erkrankungs- und Strukturdaten'!$C$9*D52-IF(G52&gt;'Erkrankungs- und Strukturdaten'!$C$15,VLOOKUP(Prognoseergebnis!G52-'Erkrankungs- und Strukturdaten'!$C$15,$A:$D,$D$6,FALSE)*'Erkrankungs- und Strukturdaten'!$C$9,0),0)</f>
        <v>295</v>
      </c>
      <c r="J52" s="5">
        <f>I52*'Erkrankungs- und Strukturdaten'!$C$10/'Erkrankungs- und Strukturdaten'!$C$9</f>
        <v>144.54999999999998</v>
      </c>
      <c r="K52" s="5">
        <f>I52*'Erkrankungs- und Strukturdaten'!$C$21</f>
        <v>5900</v>
      </c>
      <c r="L52" s="11"/>
      <c r="N52" s="9"/>
      <c r="O52" s="5">
        <f>IF(AND(((H52/'Erkrankungs- und Strukturdaten'!$C$25)*'Erkrankungs- und Strukturdaten'!$E$27)+(H52/'Erkrankungs- und Strukturdaten'!$C$26)&lt;1,((H52/'Erkrankungs- und Strukturdaten'!$C$25)*'Erkrankungs- und Strukturdaten'!$E$27)+(H52/'Erkrankungs- und Strukturdaten'!$C$26)&gt;0),1,((H52/'Erkrankungs- und Strukturdaten'!$C$25)*'Erkrankungs- und Strukturdaten'!$E$27)+(H52/'Erkrankungs- und Strukturdaten'!$C$26))</f>
        <v>739.7</v>
      </c>
      <c r="P52" s="5">
        <f>ROUNDUP(((I52/'Erkrankungs- und Strukturdaten'!$C$28)*'Erkrankungs- und Strukturdaten'!$E$30)+(I52/'Erkrankungs- und Strukturdaten'!$C$29),0)</f>
        <v>321</v>
      </c>
      <c r="Q52" s="5">
        <f>ROUNDUP((H52/'Erkrankungs- und Strukturdaten'!$C$34*'Erkrankungs- und Strukturdaten'!$E$36)+(H52/'Erkrankungs- und Strukturdaten'!$C$35),0)</f>
        <v>119</v>
      </c>
      <c r="R52" s="5">
        <f>ROUNDUP((I52*'Erkrankungs- und Strukturdaten'!$C$40/'Erkrankungs- und Strukturdaten'!$C$38*'Erkrankungs- und Strukturdaten'!$E$39)+(I52*(1-'Erkrankungs- und Strukturdaten'!$C$40)/'Erkrankungs- und Strukturdaten'!$C$37*'Erkrankungs- und Strukturdaten'!$E$39),0)</f>
        <v>41</v>
      </c>
      <c r="S52" s="19"/>
      <c r="T52" s="51"/>
      <c r="U52" s="42"/>
      <c r="V52" s="42"/>
    </row>
    <row r="53" spans="1:22" ht="14.85" hidden="1" customHeight="1" x14ac:dyDescent="0.2">
      <c r="A53" s="42">
        <v>44</v>
      </c>
      <c r="B53" s="370"/>
      <c r="C53" s="27">
        <f t="shared" ref="C53:C63" si="2">C54-1</f>
        <v>44288</v>
      </c>
      <c r="D53" s="6">
        <f>SUMIF('Fallzahlen (Berechnung)'!D:D,"&lt;="&amp;Prognoseergebnis!C53,'Fallzahlen (Berechnung)'!E:E)-'Fallzahlen (Berechnung)'!$E$1</f>
        <v>604364</v>
      </c>
      <c r="E53" s="114">
        <f>VLOOKUP(C53,'Fallzahlen (Berechnung)'!$D:$E,'Fallzahlen (Berechnung)'!$E$1,FALSE)</f>
        <v>1199</v>
      </c>
      <c r="F53" s="26"/>
      <c r="G53" s="18">
        <v>44</v>
      </c>
      <c r="H53" s="6">
        <f>ROUND('Erkrankungs- und Strukturdaten'!$C$8*D53-IF(G53&gt;'Erkrankungs- und Strukturdaten'!$C$14,VLOOKUP(Prognoseergebnis!G53-ROUNDDOWN('Erkrankungs- und Strukturdaten'!$C$14,0),$A:$D,$D$6,FALSE)*'Erkrankungs- und Strukturdaten'!$C$8,0)
+IF(G53&gt;'Erkrankungs- und Strukturdaten'!$C$15,VLOOKUP(Prognoseergebnis!G53-ROUNDDOWN('Erkrankungs- und Strukturdaten'!$C$15,0),A:D,$D$6,FALSE)*'Erkrankungs- und Strukturdaten'!$C$9,0)
-IF(G53&gt;'Erkrankungs- und Strukturdaten'!$C$15+'Erkrankungs- und Strukturdaten'!$C$16,VLOOKUP(Prognoseergebnis!G53-ROUNDDOWN('Erkrankungs- und Strukturdaten'!$C$15-'Erkrankungs- und Strukturdaten'!$C$16,0),A:D,$D$6,FALSE)*'Erkrankungs- und Strukturdaten'!$C$9,0),0)</f>
        <v>1592</v>
      </c>
      <c r="I53" s="6">
        <f>ROUND('Erkrankungs- und Strukturdaten'!$C$9*D53-IF(G53&gt;'Erkrankungs- und Strukturdaten'!$C$15,VLOOKUP(Prognoseergebnis!G53-'Erkrankungs- und Strukturdaten'!$C$15,$A:$D,$D$6,FALSE)*'Erkrankungs- und Strukturdaten'!$C$9,0),0)</f>
        <v>290</v>
      </c>
      <c r="J53" s="6">
        <f>I53*'Erkrankungs- und Strukturdaten'!$C$10/'Erkrankungs- und Strukturdaten'!$C$9</f>
        <v>142.1</v>
      </c>
      <c r="K53" s="6">
        <f>I53*'Erkrankungs- und Strukturdaten'!$C$21</f>
        <v>5800</v>
      </c>
      <c r="L53" s="12"/>
      <c r="N53" s="10"/>
      <c r="O53" s="6">
        <f>IF(AND(((H53/'Erkrankungs- und Strukturdaten'!$C$25)*'Erkrankungs- und Strukturdaten'!$E$27)+(H53/'Erkrankungs- und Strukturdaten'!$C$26)&lt;1,((H53/'Erkrankungs- und Strukturdaten'!$C$25)*'Erkrankungs- und Strukturdaten'!$E$27)+(H53/'Erkrankungs- und Strukturdaten'!$C$26)&gt;0),1,((H53/'Erkrankungs- und Strukturdaten'!$C$25)*'Erkrankungs- und Strukturdaten'!$E$27)+(H53/'Erkrankungs- und Strukturdaten'!$C$26))</f>
        <v>689.86666666666656</v>
      </c>
      <c r="P53" s="6">
        <f>ROUNDUP(((I53/'Erkrankungs- und Strukturdaten'!$C$28)*'Erkrankungs- und Strukturdaten'!$E$30)+(I53/'Erkrankungs- und Strukturdaten'!$C$29),0)</f>
        <v>315</v>
      </c>
      <c r="Q53" s="6">
        <f>ROUNDUP((H53/'Erkrankungs- und Strukturdaten'!$C$34*'Erkrankungs- und Strukturdaten'!$E$36)+(H53/'Erkrankungs- und Strukturdaten'!$C$35),0)</f>
        <v>111</v>
      </c>
      <c r="R53" s="6">
        <f>ROUNDUP((I53*'Erkrankungs- und Strukturdaten'!$C$40/'Erkrankungs- und Strukturdaten'!$C$38*'Erkrankungs- und Strukturdaten'!$E$39)+(I53*(1-'Erkrankungs- und Strukturdaten'!$C$40)/'Erkrankungs- und Strukturdaten'!$C$37*'Erkrankungs- und Strukturdaten'!$E$39),0)</f>
        <v>40</v>
      </c>
      <c r="S53" s="19"/>
      <c r="T53" s="51"/>
      <c r="U53" s="42"/>
      <c r="V53" s="42"/>
    </row>
    <row r="54" spans="1:22" ht="14.85" hidden="1" customHeight="1" x14ac:dyDescent="0.2">
      <c r="A54" s="42">
        <v>45</v>
      </c>
      <c r="B54" s="370"/>
      <c r="C54" s="28">
        <f t="shared" si="2"/>
        <v>44289</v>
      </c>
      <c r="D54" s="5">
        <f>SUMIF('Fallzahlen (Berechnung)'!D:D,"&lt;="&amp;Prognoseergebnis!C54,'Fallzahlen (Berechnung)'!E:E)-'Fallzahlen (Berechnung)'!$E$1</f>
        <v>605680</v>
      </c>
      <c r="E54" s="115">
        <f>VLOOKUP(C54,'Fallzahlen (Berechnung)'!$D:$E,'Fallzahlen (Berechnung)'!$E$1,FALSE)</f>
        <v>1316</v>
      </c>
      <c r="F54" s="26"/>
      <c r="G54" s="18">
        <v>45</v>
      </c>
      <c r="H54" s="5">
        <f>ROUND('Erkrankungs- und Strukturdaten'!$C$8*D54-IF(G54&gt;'Erkrankungs- und Strukturdaten'!$C$14,VLOOKUP(Prognoseergebnis!G54-ROUNDDOWN('Erkrankungs- und Strukturdaten'!$C$14,0),$A:$D,$D$6,FALSE)*'Erkrankungs- und Strukturdaten'!$C$8,0)
+IF(G54&gt;'Erkrankungs- und Strukturdaten'!$C$15,VLOOKUP(Prognoseergebnis!G54-ROUNDDOWN('Erkrankungs- und Strukturdaten'!$C$15,0),A:D,$D$6,FALSE)*'Erkrankungs- und Strukturdaten'!$C$9,0)
-IF(G54&gt;'Erkrankungs- und Strukturdaten'!$C$15+'Erkrankungs- und Strukturdaten'!$C$16,VLOOKUP(Prognoseergebnis!G54-ROUNDDOWN('Erkrankungs- und Strukturdaten'!$C$15-'Erkrankungs- und Strukturdaten'!$C$16,0),A:D,$D$6,FALSE)*'Erkrankungs- und Strukturdaten'!$C$9,0),0)</f>
        <v>1601</v>
      </c>
      <c r="I54" s="5">
        <f>ROUND('Erkrankungs- und Strukturdaten'!$C$9*D54-IF(G54&gt;'Erkrankungs- und Strukturdaten'!$C$15,VLOOKUP(Prognoseergebnis!G54-'Erkrankungs- und Strukturdaten'!$C$15,$A:$D,$D$6,FALSE)*'Erkrankungs- und Strukturdaten'!$C$9,0),0)</f>
        <v>288</v>
      </c>
      <c r="J54" s="5">
        <f>I54*'Erkrankungs- und Strukturdaten'!$C$10/'Erkrankungs- und Strukturdaten'!$C$9</f>
        <v>141.12</v>
      </c>
      <c r="K54" s="5">
        <f>I54*'Erkrankungs- und Strukturdaten'!$C$21</f>
        <v>5760</v>
      </c>
      <c r="L54" s="11"/>
      <c r="N54" s="9"/>
      <c r="O54" s="5">
        <f>IF(AND(((H54/'Erkrankungs- und Strukturdaten'!$C$25)*'Erkrankungs- und Strukturdaten'!$E$27)+(H54/'Erkrankungs- und Strukturdaten'!$C$26)&lt;1,((H54/'Erkrankungs- und Strukturdaten'!$C$25)*'Erkrankungs- und Strukturdaten'!$E$27)+(H54/'Erkrankungs- und Strukturdaten'!$C$26)&gt;0),1,((H54/'Erkrankungs- und Strukturdaten'!$C$25)*'Erkrankungs- und Strukturdaten'!$E$27)+(H54/'Erkrankungs- und Strukturdaten'!$C$26))</f>
        <v>693.76666666666665</v>
      </c>
      <c r="P54" s="5">
        <f>ROUNDUP(((I54/'Erkrankungs- und Strukturdaten'!$C$28)*'Erkrankungs- und Strukturdaten'!$E$30)+(I54/'Erkrankungs- und Strukturdaten'!$C$29),0)</f>
        <v>313</v>
      </c>
      <c r="Q54" s="5">
        <f>ROUNDUP((H54/'Erkrankungs- und Strukturdaten'!$C$34*'Erkrankungs- und Strukturdaten'!$E$36)+(H54/'Erkrankungs- und Strukturdaten'!$C$35),0)</f>
        <v>112</v>
      </c>
      <c r="R54" s="5">
        <f>ROUNDUP((I54*'Erkrankungs- und Strukturdaten'!$C$40/'Erkrankungs- und Strukturdaten'!$C$38*'Erkrankungs- und Strukturdaten'!$E$39)+(I54*(1-'Erkrankungs- und Strukturdaten'!$C$40)/'Erkrankungs- und Strukturdaten'!$C$37*'Erkrankungs- und Strukturdaten'!$E$39),0)</f>
        <v>40</v>
      </c>
      <c r="S54" s="19"/>
      <c r="T54" s="51"/>
      <c r="U54" s="42"/>
      <c r="V54" s="42"/>
    </row>
    <row r="55" spans="1:22" ht="14.85" hidden="1" customHeight="1" x14ac:dyDescent="0.2">
      <c r="A55" s="42">
        <v>46</v>
      </c>
      <c r="B55" s="370"/>
      <c r="C55" s="27">
        <f t="shared" si="2"/>
        <v>44290</v>
      </c>
      <c r="D55" s="6">
        <f>SUMIF('Fallzahlen (Berechnung)'!D:D,"&lt;="&amp;Prognoseergebnis!C55,'Fallzahlen (Berechnung)'!E:E)-'Fallzahlen (Berechnung)'!$E$1</f>
        <v>606700</v>
      </c>
      <c r="E55" s="114">
        <f>VLOOKUP(C55,'Fallzahlen (Berechnung)'!$D:$E,'Fallzahlen (Berechnung)'!$E$1,FALSE)</f>
        <v>1020</v>
      </c>
      <c r="F55" s="26"/>
      <c r="G55" s="18">
        <v>46</v>
      </c>
      <c r="H55" s="6">
        <f>ROUND('Erkrankungs- und Strukturdaten'!$C$8*D55-IF(G55&gt;'Erkrankungs- und Strukturdaten'!$C$14,VLOOKUP(Prognoseergebnis!G55-ROUNDDOWN('Erkrankungs- und Strukturdaten'!$C$14,0),$A:$D,$D$6,FALSE)*'Erkrankungs- und Strukturdaten'!$C$8,0)
+IF(G55&gt;'Erkrankungs- und Strukturdaten'!$C$15,VLOOKUP(Prognoseergebnis!G55-ROUNDDOWN('Erkrankungs- und Strukturdaten'!$C$15,0),A:D,$D$6,FALSE)*'Erkrankungs- und Strukturdaten'!$C$9,0)
-IF(G55&gt;'Erkrankungs- und Strukturdaten'!$C$15+'Erkrankungs- und Strukturdaten'!$C$16,VLOOKUP(Prognoseergebnis!G55-ROUNDDOWN('Erkrankungs- und Strukturdaten'!$C$15-'Erkrankungs- und Strukturdaten'!$C$16,0),A:D,$D$6,FALSE)*'Erkrankungs- und Strukturdaten'!$C$9,0),0)</f>
        <v>1594</v>
      </c>
      <c r="I55" s="6">
        <f>ROUND('Erkrankungs- und Strukturdaten'!$C$9*D55-IF(G55&gt;'Erkrankungs- und Strukturdaten'!$C$15,VLOOKUP(Prognoseergebnis!G55-'Erkrankungs- und Strukturdaten'!$C$15,$A:$D,$D$6,FALSE)*'Erkrankungs- und Strukturdaten'!$C$9,0),0)</f>
        <v>287</v>
      </c>
      <c r="J55" s="6">
        <f>I55*'Erkrankungs- und Strukturdaten'!$C$10/'Erkrankungs- und Strukturdaten'!$C$9</f>
        <v>140.63</v>
      </c>
      <c r="K55" s="6">
        <f>I55*'Erkrankungs- und Strukturdaten'!$C$21</f>
        <v>5740</v>
      </c>
      <c r="L55" s="11"/>
      <c r="N55" s="9"/>
      <c r="O55" s="6">
        <f>IF(AND(((H55/'Erkrankungs- und Strukturdaten'!$C$25)*'Erkrankungs- und Strukturdaten'!$E$27)+(H55/'Erkrankungs- und Strukturdaten'!$C$26)&lt;1,((H55/'Erkrankungs- und Strukturdaten'!$C$25)*'Erkrankungs- und Strukturdaten'!$E$27)+(H55/'Erkrankungs- und Strukturdaten'!$C$26)&gt;0),1,((H55/'Erkrankungs- und Strukturdaten'!$C$25)*'Erkrankungs- und Strukturdaten'!$E$27)+(H55/'Erkrankungs- und Strukturdaten'!$C$26))</f>
        <v>690.73333333333335</v>
      </c>
      <c r="P55" s="6">
        <f>ROUNDUP(((I55/'Erkrankungs- und Strukturdaten'!$C$28)*'Erkrankungs- und Strukturdaten'!$E$30)+(I55/'Erkrankungs- und Strukturdaten'!$C$29),0)</f>
        <v>312</v>
      </c>
      <c r="Q55" s="6">
        <f>ROUNDUP((H55/'Erkrankungs- und Strukturdaten'!$C$34*'Erkrankungs- und Strukturdaten'!$E$36)+(H55/'Erkrankungs- und Strukturdaten'!$C$35),0)</f>
        <v>111</v>
      </c>
      <c r="R55" s="6">
        <f>ROUNDUP((I55*'Erkrankungs- und Strukturdaten'!$C$40/'Erkrankungs- und Strukturdaten'!$C$38*'Erkrankungs- und Strukturdaten'!$E$39)+(I55*(1-'Erkrankungs- und Strukturdaten'!$C$40)/'Erkrankungs- und Strukturdaten'!$C$37*'Erkrankungs- und Strukturdaten'!$E$39),0)</f>
        <v>40</v>
      </c>
      <c r="S55" s="19"/>
      <c r="T55" s="51"/>
      <c r="U55" s="42"/>
      <c r="V55" s="42"/>
    </row>
    <row r="56" spans="1:22" ht="14.85" hidden="1" customHeight="1" x14ac:dyDescent="0.2">
      <c r="A56" s="42">
        <v>47</v>
      </c>
      <c r="B56" s="370"/>
      <c r="C56" s="28">
        <f t="shared" si="2"/>
        <v>44291</v>
      </c>
      <c r="D56" s="5">
        <f>SUMIF('Fallzahlen (Berechnung)'!D:D,"&lt;="&amp;Prognoseergebnis!C56,'Fallzahlen (Berechnung)'!E:E)-'Fallzahlen (Berechnung)'!$E$1</f>
        <v>607987</v>
      </c>
      <c r="E56" s="115">
        <f>VLOOKUP(C56,'Fallzahlen (Berechnung)'!$D:$E,'Fallzahlen (Berechnung)'!$E$1,FALSE)</f>
        <v>1287</v>
      </c>
      <c r="F56" s="26"/>
      <c r="G56" s="18">
        <v>47</v>
      </c>
      <c r="H56" s="5">
        <f>ROUND('Erkrankungs- und Strukturdaten'!$C$8*D56-IF(G56&gt;'Erkrankungs- und Strukturdaten'!$C$14,VLOOKUP(Prognoseergebnis!G56-ROUNDDOWN('Erkrankungs- und Strukturdaten'!$C$14,0),$A:$D,$D$6,FALSE)*'Erkrankungs- und Strukturdaten'!$C$8,0)
+IF(G56&gt;'Erkrankungs- und Strukturdaten'!$C$15,VLOOKUP(Prognoseergebnis!G56-ROUNDDOWN('Erkrankungs- und Strukturdaten'!$C$15,0),A:D,$D$6,FALSE)*'Erkrankungs- und Strukturdaten'!$C$9,0)
-IF(G56&gt;'Erkrankungs- und Strukturdaten'!$C$15+'Erkrankungs- und Strukturdaten'!$C$16,VLOOKUP(Prognoseergebnis!G56-ROUNDDOWN('Erkrankungs- und Strukturdaten'!$C$15-'Erkrankungs- und Strukturdaten'!$C$16,0),A:D,$D$6,FALSE)*'Erkrankungs- und Strukturdaten'!$C$9,0),0)</f>
        <v>1415</v>
      </c>
      <c r="I56" s="5">
        <f>ROUND('Erkrankungs- und Strukturdaten'!$C$9*D56-IF(G56&gt;'Erkrankungs- und Strukturdaten'!$C$15,VLOOKUP(Prognoseergebnis!G56-'Erkrankungs- und Strukturdaten'!$C$15,$A:$D,$D$6,FALSE)*'Erkrankungs- und Strukturdaten'!$C$9,0),0)</f>
        <v>292</v>
      </c>
      <c r="J56" s="5">
        <f>I56*'Erkrankungs- und Strukturdaten'!$C$10/'Erkrankungs- und Strukturdaten'!$C$9</f>
        <v>143.07999999999998</v>
      </c>
      <c r="K56" s="5">
        <f>I56*'Erkrankungs- und Strukturdaten'!$C$21</f>
        <v>5840</v>
      </c>
      <c r="L56" s="11"/>
      <c r="N56" s="9"/>
      <c r="O56" s="5">
        <f>IF(AND(((H56/'Erkrankungs- und Strukturdaten'!$C$25)*'Erkrankungs- und Strukturdaten'!$E$27)+(H56/'Erkrankungs- und Strukturdaten'!$C$26)&lt;1,((H56/'Erkrankungs- und Strukturdaten'!$C$25)*'Erkrankungs- und Strukturdaten'!$E$27)+(H56/'Erkrankungs- und Strukturdaten'!$C$26)&gt;0),1,((H56/'Erkrankungs- und Strukturdaten'!$C$25)*'Erkrankungs- und Strukturdaten'!$E$27)+(H56/'Erkrankungs- und Strukturdaten'!$C$26))</f>
        <v>613.16666666666674</v>
      </c>
      <c r="P56" s="5">
        <f>ROUNDUP(((I56/'Erkrankungs- und Strukturdaten'!$C$28)*'Erkrankungs- und Strukturdaten'!$E$30)+(I56/'Erkrankungs- und Strukturdaten'!$C$29),0)</f>
        <v>318</v>
      </c>
      <c r="Q56" s="5">
        <f>ROUNDUP((H56/'Erkrankungs- und Strukturdaten'!$C$34*'Erkrankungs- und Strukturdaten'!$E$36)+(H56/'Erkrankungs- und Strukturdaten'!$C$35),0)</f>
        <v>99</v>
      </c>
      <c r="R56" s="5">
        <f>ROUNDUP((I56*'Erkrankungs- und Strukturdaten'!$C$40/'Erkrankungs- und Strukturdaten'!$C$38*'Erkrankungs- und Strukturdaten'!$E$39)+(I56*(1-'Erkrankungs- und Strukturdaten'!$C$40)/'Erkrankungs- und Strukturdaten'!$C$37*'Erkrankungs- und Strukturdaten'!$E$39),0)</f>
        <v>40</v>
      </c>
      <c r="S56" s="19"/>
      <c r="T56" s="51"/>
      <c r="U56" s="42"/>
      <c r="V56" s="42"/>
    </row>
    <row r="57" spans="1:22" ht="14.85" hidden="1" customHeight="1" x14ac:dyDescent="0.2">
      <c r="A57" s="42">
        <v>48</v>
      </c>
      <c r="B57" s="370"/>
      <c r="C57" s="27">
        <f t="shared" si="2"/>
        <v>44292</v>
      </c>
      <c r="D57" s="6">
        <f>SUMIF('Fallzahlen (Berechnung)'!D:D,"&lt;="&amp;Prognoseergebnis!C57,'Fallzahlen (Berechnung)'!E:E)-'Fallzahlen (Berechnung)'!$E$1</f>
        <v>610674</v>
      </c>
      <c r="E57" s="114">
        <f>VLOOKUP(C57,'Fallzahlen (Berechnung)'!$D:$E,'Fallzahlen (Berechnung)'!$E$1,FALSE)</f>
        <v>2687</v>
      </c>
      <c r="F57" s="26"/>
      <c r="G57" s="18">
        <v>48</v>
      </c>
      <c r="H57" s="6">
        <f>ROUND('Erkrankungs- und Strukturdaten'!$C$8*D57-IF(G57&gt;'Erkrankungs- und Strukturdaten'!$C$14,VLOOKUP(Prognoseergebnis!G57-ROUNDDOWN('Erkrankungs- und Strukturdaten'!$C$14,0),$A:$D,$D$6,FALSE)*'Erkrankungs- und Strukturdaten'!$C$8,0)
+IF(G57&gt;'Erkrankungs- und Strukturdaten'!$C$15,VLOOKUP(Prognoseergebnis!G57-ROUNDDOWN('Erkrankungs- und Strukturdaten'!$C$15,0),A:D,$D$6,FALSE)*'Erkrankungs- und Strukturdaten'!$C$9,0)
-IF(G57&gt;'Erkrankungs- und Strukturdaten'!$C$15+'Erkrankungs- und Strukturdaten'!$C$16,VLOOKUP(Prognoseergebnis!G57-ROUNDDOWN('Erkrankungs- und Strukturdaten'!$C$15-'Erkrankungs- und Strukturdaten'!$C$16,0),A:D,$D$6,FALSE)*'Erkrankungs- und Strukturdaten'!$C$9,0),0)</f>
        <v>1513</v>
      </c>
      <c r="I57" s="6">
        <f>ROUND('Erkrankungs- und Strukturdaten'!$C$9*D57-IF(G57&gt;'Erkrankungs- und Strukturdaten'!$C$15,VLOOKUP(Prognoseergebnis!G57-'Erkrankungs- und Strukturdaten'!$C$15,$A:$D,$D$6,FALSE)*'Erkrankungs- und Strukturdaten'!$C$9,0),0)</f>
        <v>297</v>
      </c>
      <c r="J57" s="6">
        <f>I57*'Erkrankungs- und Strukturdaten'!$C$10/'Erkrankungs- und Strukturdaten'!$C$9</f>
        <v>145.53</v>
      </c>
      <c r="K57" s="6">
        <f>I57*'Erkrankungs- und Strukturdaten'!$C$21</f>
        <v>5940</v>
      </c>
      <c r="L57" s="11"/>
      <c r="N57" s="9"/>
      <c r="O57" s="6">
        <f>IF(AND(((H57/'Erkrankungs- und Strukturdaten'!$C$25)*'Erkrankungs- und Strukturdaten'!$E$27)+(H57/'Erkrankungs- und Strukturdaten'!$C$26)&lt;1,((H57/'Erkrankungs- und Strukturdaten'!$C$25)*'Erkrankungs- und Strukturdaten'!$E$27)+(H57/'Erkrankungs- und Strukturdaten'!$C$26)&gt;0),1,((H57/'Erkrankungs- und Strukturdaten'!$C$25)*'Erkrankungs- und Strukturdaten'!$E$27)+(H57/'Erkrankungs- und Strukturdaten'!$C$26))</f>
        <v>655.63333333333333</v>
      </c>
      <c r="P57" s="6">
        <f>ROUNDUP(((I57/'Erkrankungs- und Strukturdaten'!$C$28)*'Erkrankungs- und Strukturdaten'!$E$30)+(I57/'Erkrankungs- und Strukturdaten'!$C$29),0)</f>
        <v>323</v>
      </c>
      <c r="Q57" s="6">
        <f>ROUNDUP((H57/'Erkrankungs- und Strukturdaten'!$C$34*'Erkrankungs- und Strukturdaten'!$E$36)+(H57/'Erkrankungs- und Strukturdaten'!$C$35),0)</f>
        <v>106</v>
      </c>
      <c r="R57" s="6">
        <f>ROUNDUP((I57*'Erkrankungs- und Strukturdaten'!$C$40/'Erkrankungs- und Strukturdaten'!$C$38*'Erkrankungs- und Strukturdaten'!$E$39)+(I57*(1-'Erkrankungs- und Strukturdaten'!$C$40)/'Erkrankungs- und Strukturdaten'!$C$37*'Erkrankungs- und Strukturdaten'!$E$39),0)</f>
        <v>41</v>
      </c>
      <c r="S57" s="19"/>
      <c r="T57" s="51"/>
      <c r="U57" s="42"/>
      <c r="V57" s="42"/>
    </row>
    <row r="58" spans="1:22" ht="14.85" hidden="1" customHeight="1" x14ac:dyDescent="0.2">
      <c r="A58" s="42">
        <v>49</v>
      </c>
      <c r="B58" s="370"/>
      <c r="C58" s="28">
        <f t="shared" si="2"/>
        <v>44293</v>
      </c>
      <c r="D58" s="5">
        <f>SUMIF('Fallzahlen (Berechnung)'!D:D,"&lt;="&amp;Prognoseergebnis!C58,'Fallzahlen (Berechnung)'!E:E)-'Fallzahlen (Berechnung)'!$E$1</f>
        <v>613059</v>
      </c>
      <c r="E58" s="117">
        <f>VLOOKUP(C58,'Fallzahlen (Berechnung)'!$D:$E,'Fallzahlen (Berechnung)'!$E$1,FALSE)</f>
        <v>2385</v>
      </c>
      <c r="F58" s="26"/>
      <c r="G58" s="18">
        <v>49</v>
      </c>
      <c r="H58" s="5">
        <f>ROUND('Erkrankungs- und Strukturdaten'!$C$8*D58-IF(G58&gt;'Erkrankungs- und Strukturdaten'!$C$14,VLOOKUP(Prognoseergebnis!G58-ROUNDDOWN('Erkrankungs- und Strukturdaten'!$C$14,0),$A:$D,$D$6,FALSE)*'Erkrankungs- und Strukturdaten'!$C$8,0)
+IF(G58&gt;'Erkrankungs- und Strukturdaten'!$C$15,VLOOKUP(Prognoseergebnis!G58-ROUNDDOWN('Erkrankungs- und Strukturdaten'!$C$15,0),A:D,$D$6,FALSE)*'Erkrankungs- und Strukturdaten'!$C$9,0)
-IF(G58&gt;'Erkrankungs- und Strukturdaten'!$C$15+'Erkrankungs- und Strukturdaten'!$C$16,VLOOKUP(Prognoseergebnis!G58-ROUNDDOWN('Erkrankungs- und Strukturdaten'!$C$15-'Erkrankungs- und Strukturdaten'!$C$16,0),A:D,$D$6,FALSE)*'Erkrankungs- und Strukturdaten'!$C$9,0),0)</f>
        <v>1542</v>
      </c>
      <c r="I58" s="5">
        <f>ROUND('Erkrankungs- und Strukturdaten'!$C$9*D58-IF(G58&gt;'Erkrankungs- und Strukturdaten'!$C$15,VLOOKUP(Prognoseergebnis!G58-'Erkrankungs- und Strukturdaten'!$C$15,$A:$D,$D$6,FALSE)*'Erkrankungs- und Strukturdaten'!$C$9,0),0)</f>
        <v>301</v>
      </c>
      <c r="J58" s="5">
        <f>I58*'Erkrankungs- und Strukturdaten'!$C$10/'Erkrankungs- und Strukturdaten'!$C$9</f>
        <v>147.49</v>
      </c>
      <c r="K58" s="5">
        <f>I58*'Erkrankungs- und Strukturdaten'!$C$21</f>
        <v>6020</v>
      </c>
      <c r="L58" s="11"/>
      <c r="N58" s="9"/>
      <c r="O58" s="5">
        <f>IF(AND(((H58/'Erkrankungs- und Strukturdaten'!$C$25)*'Erkrankungs- und Strukturdaten'!$E$27)+(H58/'Erkrankungs- und Strukturdaten'!$C$26)&lt;1,((H58/'Erkrankungs- und Strukturdaten'!$C$25)*'Erkrankungs- und Strukturdaten'!$E$27)+(H58/'Erkrankungs- und Strukturdaten'!$C$26)&gt;0),1,((H58/'Erkrankungs- und Strukturdaten'!$C$25)*'Erkrankungs- und Strukturdaten'!$E$27)+(H58/'Erkrankungs- und Strukturdaten'!$C$26))</f>
        <v>668.2</v>
      </c>
      <c r="P58" s="5">
        <f>ROUNDUP(((I58/'Erkrankungs- und Strukturdaten'!$C$28)*'Erkrankungs- und Strukturdaten'!$E$30)+(I58/'Erkrankungs- und Strukturdaten'!$C$29),0)</f>
        <v>327</v>
      </c>
      <c r="Q58" s="5">
        <f>ROUNDUP((H58/'Erkrankungs- und Strukturdaten'!$C$34*'Erkrankungs- und Strukturdaten'!$E$36)+(H58/'Erkrankungs- und Strukturdaten'!$C$35),0)</f>
        <v>108</v>
      </c>
      <c r="R58" s="5">
        <f>ROUNDUP((I58*'Erkrankungs- und Strukturdaten'!$C$40/'Erkrankungs- und Strukturdaten'!$C$38*'Erkrankungs- und Strukturdaten'!$E$39)+(I58*(1-'Erkrankungs- und Strukturdaten'!$C$40)/'Erkrankungs- und Strukturdaten'!$C$37*'Erkrankungs- und Strukturdaten'!$E$39),0)</f>
        <v>42</v>
      </c>
      <c r="S58" s="19"/>
      <c r="T58" s="51"/>
      <c r="U58" s="42"/>
      <c r="V58" s="42"/>
    </row>
    <row r="59" spans="1:22" ht="14.85" hidden="1" customHeight="1" x14ac:dyDescent="0.2">
      <c r="A59" s="42">
        <v>50</v>
      </c>
      <c r="B59" s="376" t="s">
        <v>40</v>
      </c>
      <c r="C59" s="27">
        <f t="shared" si="2"/>
        <v>44294</v>
      </c>
      <c r="D59" s="6">
        <f>SUMIF('Fallzahlen (Berechnung)'!D:D,"&lt;="&amp;Prognoseergebnis!C59,'Fallzahlen (Berechnung)'!E:E)-'Fallzahlen (Berechnung)'!$E$1</f>
        <v>615547</v>
      </c>
      <c r="E59" s="118">
        <f>VLOOKUP(C59,'Fallzahlen (Berechnung)'!$D:$E,'Fallzahlen (Berechnung)'!$E$1,FALSE)</f>
        <v>2488</v>
      </c>
      <c r="F59" s="26"/>
      <c r="G59" s="18">
        <v>50</v>
      </c>
      <c r="H59" s="6">
        <f>ROUND('Erkrankungs- und Strukturdaten'!$C$8*D59-IF(G59&gt;'Erkrankungs- und Strukturdaten'!$C$14,VLOOKUP(Prognoseergebnis!G59-ROUNDDOWN('Erkrankungs- und Strukturdaten'!$C$14,0),$A:$D,$D$6,FALSE)*'Erkrankungs- und Strukturdaten'!$C$8,0)
+IF(G59&gt;'Erkrankungs- und Strukturdaten'!$C$15,VLOOKUP(Prognoseergebnis!G59-ROUNDDOWN('Erkrankungs- und Strukturdaten'!$C$15,0),A:D,$D$6,FALSE)*'Erkrankungs- und Strukturdaten'!$C$9,0)
-IF(G59&gt;'Erkrankungs- und Strukturdaten'!$C$15+'Erkrankungs- und Strukturdaten'!$C$16,VLOOKUP(Prognoseergebnis!G59-ROUNDDOWN('Erkrankungs- und Strukturdaten'!$C$15-'Erkrankungs- und Strukturdaten'!$C$16,0),A:D,$D$6,FALSE)*'Erkrankungs- und Strukturdaten'!$C$9,0),0)</f>
        <v>1611</v>
      </c>
      <c r="I59" s="6">
        <f>ROUND('Erkrankungs- und Strukturdaten'!$C$9*D59-IF(G59&gt;'Erkrankungs- und Strukturdaten'!$C$15,VLOOKUP(Prognoseergebnis!G59-'Erkrankungs- und Strukturdaten'!$C$15,$A:$D,$D$6,FALSE)*'Erkrankungs- und Strukturdaten'!$C$9,0),0)</f>
        <v>308</v>
      </c>
      <c r="J59" s="6">
        <f>I59*'Erkrankungs- und Strukturdaten'!$C$10/'Erkrankungs- und Strukturdaten'!$C$9</f>
        <v>150.91999999999999</v>
      </c>
      <c r="K59" s="6">
        <f>I59*'Erkrankungs- und Strukturdaten'!$C$21</f>
        <v>6160</v>
      </c>
      <c r="L59" s="11"/>
      <c r="N59" s="9"/>
      <c r="O59" s="6">
        <f>IF(AND(((H59/'Erkrankungs- und Strukturdaten'!$C$25)*'Erkrankungs- und Strukturdaten'!$E$27)+(H59/'Erkrankungs- und Strukturdaten'!$C$26)&lt;1,((H59/'Erkrankungs- und Strukturdaten'!$C$25)*'Erkrankungs- und Strukturdaten'!$E$27)+(H59/'Erkrankungs- und Strukturdaten'!$C$26)&gt;0),1,((H59/'Erkrankungs- und Strukturdaten'!$C$25)*'Erkrankungs- und Strukturdaten'!$E$27)+(H59/'Erkrankungs- und Strukturdaten'!$C$26))</f>
        <v>698.1</v>
      </c>
      <c r="P59" s="6">
        <f>ROUNDUP(((I59/'Erkrankungs- und Strukturdaten'!$C$28)*'Erkrankungs- und Strukturdaten'!$E$30)+(I59/'Erkrankungs- und Strukturdaten'!$C$29),0)</f>
        <v>335</v>
      </c>
      <c r="Q59" s="6">
        <f>ROUNDUP((H59/'Erkrankungs- und Strukturdaten'!$C$34*'Erkrankungs- und Strukturdaten'!$E$36)+(H59/'Erkrankungs- und Strukturdaten'!$C$35),0)</f>
        <v>112</v>
      </c>
      <c r="R59" s="6">
        <f>ROUNDUP((I59*'Erkrankungs- und Strukturdaten'!$C$40/'Erkrankungs- und Strukturdaten'!$C$38*'Erkrankungs- und Strukturdaten'!$E$39)+(I59*(1-'Erkrankungs- und Strukturdaten'!$C$40)/'Erkrankungs- und Strukturdaten'!$C$37*'Erkrankungs- und Strukturdaten'!$E$39),0)</f>
        <v>43</v>
      </c>
      <c r="S59" s="19"/>
      <c r="T59" s="51"/>
      <c r="U59" s="42"/>
      <c r="V59" s="42"/>
    </row>
    <row r="60" spans="1:22" ht="14.85" hidden="1" customHeight="1" x14ac:dyDescent="0.2">
      <c r="A60" s="42">
        <v>51</v>
      </c>
      <c r="B60" s="371"/>
      <c r="C60" s="28">
        <f t="shared" si="2"/>
        <v>44295</v>
      </c>
      <c r="D60" s="5">
        <f>SUMIF('Fallzahlen (Berechnung)'!D:D,"&lt;="&amp;Prognoseergebnis!C60,'Fallzahlen (Berechnung)'!E:E)-'Fallzahlen (Berechnung)'!$E$1</f>
        <v>617959</v>
      </c>
      <c r="E60" s="115">
        <f>VLOOKUP(C60,'Fallzahlen (Berechnung)'!$D:$E,'Fallzahlen (Berechnung)'!$E$1,FALSE)</f>
        <v>2412</v>
      </c>
      <c r="F60" s="26"/>
      <c r="G60" s="18">
        <v>51</v>
      </c>
      <c r="H60" s="5">
        <f>ROUND('Erkrankungs- und Strukturdaten'!$C$8*D60-IF(G60&gt;'Erkrankungs- und Strukturdaten'!$C$14,VLOOKUP(Prognoseergebnis!G60-ROUNDDOWN('Erkrankungs- und Strukturdaten'!$C$14,0),$A:$D,$D$6,FALSE)*'Erkrankungs- und Strukturdaten'!$C$8,0)
+IF(G60&gt;'Erkrankungs- und Strukturdaten'!$C$15,VLOOKUP(Prognoseergebnis!G60-ROUNDDOWN('Erkrankungs- und Strukturdaten'!$C$15,0),A:D,$D$6,FALSE)*'Erkrankungs- und Strukturdaten'!$C$9,0)
-IF(G60&gt;'Erkrankungs- und Strukturdaten'!$C$15+'Erkrankungs- und Strukturdaten'!$C$16,VLOOKUP(Prognoseergebnis!G60-ROUNDDOWN('Erkrankungs- und Strukturdaten'!$C$15-'Erkrankungs- und Strukturdaten'!$C$16,0),A:D,$D$6,FALSE)*'Erkrankungs- und Strukturdaten'!$C$9,0),0)</f>
        <v>1781</v>
      </c>
      <c r="I60" s="5">
        <f>ROUND('Erkrankungs- und Strukturdaten'!$C$9*D60-IF(G60&gt;'Erkrankungs- und Strukturdaten'!$C$15,VLOOKUP(Prognoseergebnis!G60-'Erkrankungs- und Strukturdaten'!$C$15,$A:$D,$D$6,FALSE)*'Erkrankungs- und Strukturdaten'!$C$9,0),0)</f>
        <v>311</v>
      </c>
      <c r="J60" s="5">
        <f>I60*'Erkrankungs- und Strukturdaten'!$C$10/'Erkrankungs- und Strukturdaten'!$C$9</f>
        <v>152.39000000000001</v>
      </c>
      <c r="K60" s="5">
        <f>I60*'Erkrankungs- und Strukturdaten'!$C$21</f>
        <v>6220</v>
      </c>
      <c r="L60" s="11"/>
      <c r="N60" s="9"/>
      <c r="O60" s="5">
        <f>IF(AND(((H60/'Erkrankungs- und Strukturdaten'!$C$25)*'Erkrankungs- und Strukturdaten'!$E$27)+(H60/'Erkrankungs- und Strukturdaten'!$C$26)&lt;1,((H60/'Erkrankungs- und Strukturdaten'!$C$25)*'Erkrankungs- und Strukturdaten'!$E$27)+(H60/'Erkrankungs- und Strukturdaten'!$C$26)&gt;0),1,((H60/'Erkrankungs- und Strukturdaten'!$C$25)*'Erkrankungs- und Strukturdaten'!$E$27)+(H60/'Erkrankungs- und Strukturdaten'!$C$26))</f>
        <v>771.76666666666665</v>
      </c>
      <c r="P60" s="5">
        <f>ROUNDUP(((I60/'Erkrankungs- und Strukturdaten'!$C$28)*'Erkrankungs- und Strukturdaten'!$E$30)+(I60/'Erkrankungs- und Strukturdaten'!$C$29),0)</f>
        <v>338</v>
      </c>
      <c r="Q60" s="5">
        <f>ROUNDUP((H60/'Erkrankungs- und Strukturdaten'!$C$34*'Erkrankungs- und Strukturdaten'!$E$36)+(H60/'Erkrankungs- und Strukturdaten'!$C$35),0)</f>
        <v>124</v>
      </c>
      <c r="R60" s="5">
        <f>ROUNDUP((I60*'Erkrankungs- und Strukturdaten'!$C$40/'Erkrankungs- und Strukturdaten'!$C$38*'Erkrankungs- und Strukturdaten'!$E$39)+(I60*(1-'Erkrankungs- und Strukturdaten'!$C$40)/'Erkrankungs- und Strukturdaten'!$C$37*'Erkrankungs- und Strukturdaten'!$E$39),0)</f>
        <v>43</v>
      </c>
      <c r="S60" s="19"/>
      <c r="T60" s="51"/>
      <c r="U60" s="42"/>
      <c r="V60" s="42"/>
    </row>
    <row r="61" spans="1:22" ht="14.85" hidden="1" customHeight="1" x14ac:dyDescent="0.2">
      <c r="A61" s="42">
        <v>52</v>
      </c>
      <c r="B61" s="371"/>
      <c r="C61" s="27">
        <f t="shared" si="2"/>
        <v>44296</v>
      </c>
      <c r="D61" s="6">
        <f>SUMIF('Fallzahlen (Berechnung)'!D:D,"&lt;="&amp;Prognoseergebnis!C61,'Fallzahlen (Berechnung)'!E:E)-'Fallzahlen (Berechnung)'!$E$1</f>
        <v>619637</v>
      </c>
      <c r="E61" s="114">
        <f>VLOOKUP(C61,'Fallzahlen (Berechnung)'!$D:$E,'Fallzahlen (Berechnung)'!$E$1,FALSE)</f>
        <v>1678</v>
      </c>
      <c r="F61" s="26"/>
      <c r="G61" s="18">
        <v>52</v>
      </c>
      <c r="H61" s="6">
        <f>ROUND('Erkrankungs- und Strukturdaten'!$C$8*D61-IF(G61&gt;'Erkrankungs- und Strukturdaten'!$C$14,VLOOKUP(Prognoseergebnis!G61-ROUNDDOWN('Erkrankungs- und Strukturdaten'!$C$14,0),$A:$D,$D$6,FALSE)*'Erkrankungs- und Strukturdaten'!$C$8,0)
+IF(G61&gt;'Erkrankungs- und Strukturdaten'!$C$15,VLOOKUP(Prognoseergebnis!G61-ROUNDDOWN('Erkrankungs- und Strukturdaten'!$C$15,0),A:D,$D$6,FALSE)*'Erkrankungs- und Strukturdaten'!$C$9,0)
-IF(G61&gt;'Erkrankungs- und Strukturdaten'!$C$15+'Erkrankungs- und Strukturdaten'!$C$16,VLOOKUP(Prognoseergebnis!G61-ROUNDDOWN('Erkrankungs- und Strukturdaten'!$C$15-'Erkrankungs- und Strukturdaten'!$C$16,0),A:D,$D$6,FALSE)*'Erkrankungs- und Strukturdaten'!$C$9,0),0)</f>
        <v>1831</v>
      </c>
      <c r="I61" s="6">
        <f>ROUND('Erkrankungs- und Strukturdaten'!$C$9*D61-IF(G61&gt;'Erkrankungs- und Strukturdaten'!$C$15,VLOOKUP(Prognoseergebnis!G61-'Erkrankungs- und Strukturdaten'!$C$15,$A:$D,$D$6,FALSE)*'Erkrankungs- und Strukturdaten'!$C$9,0),0)</f>
        <v>307</v>
      </c>
      <c r="J61" s="6">
        <f>I61*'Erkrankungs- und Strukturdaten'!$C$10/'Erkrankungs- und Strukturdaten'!$C$9</f>
        <v>150.43</v>
      </c>
      <c r="K61" s="6">
        <f>I61*'Erkrankungs- und Strukturdaten'!$C$21</f>
        <v>6140</v>
      </c>
      <c r="L61" s="11"/>
      <c r="N61" s="9"/>
      <c r="O61" s="6">
        <f>IF(AND(((H61/'Erkrankungs- und Strukturdaten'!$C$25)*'Erkrankungs- und Strukturdaten'!$E$27)+(H61/'Erkrankungs- und Strukturdaten'!$C$26)&lt;1,((H61/'Erkrankungs- und Strukturdaten'!$C$25)*'Erkrankungs- und Strukturdaten'!$E$27)+(H61/'Erkrankungs- und Strukturdaten'!$C$26)&gt;0),1,((H61/'Erkrankungs- und Strukturdaten'!$C$25)*'Erkrankungs- und Strukturdaten'!$E$27)+(H61/'Erkrankungs- und Strukturdaten'!$C$26))</f>
        <v>793.43333333333339</v>
      </c>
      <c r="P61" s="6">
        <f>ROUNDUP(((I61/'Erkrankungs- und Strukturdaten'!$C$28)*'Erkrankungs- und Strukturdaten'!$E$30)+(I61/'Erkrankungs- und Strukturdaten'!$C$29),0)</f>
        <v>334</v>
      </c>
      <c r="Q61" s="6">
        <f>ROUNDUP((H61/'Erkrankungs- und Strukturdaten'!$C$34*'Erkrankungs- und Strukturdaten'!$E$36)+(H61/'Erkrankungs- und Strukturdaten'!$C$35),0)</f>
        <v>128</v>
      </c>
      <c r="R61" s="6">
        <f>ROUNDUP((I61*'Erkrankungs- und Strukturdaten'!$C$40/'Erkrankungs- und Strukturdaten'!$C$38*'Erkrankungs- und Strukturdaten'!$E$39)+(I61*(1-'Erkrankungs- und Strukturdaten'!$C$40)/'Erkrankungs- und Strukturdaten'!$C$37*'Erkrankungs- und Strukturdaten'!$E$39),0)</f>
        <v>42</v>
      </c>
      <c r="S61" s="19"/>
      <c r="T61" s="51"/>
      <c r="U61" s="42"/>
      <c r="V61" s="42"/>
    </row>
    <row r="62" spans="1:22" ht="14.85" hidden="1" customHeight="1" x14ac:dyDescent="0.2">
      <c r="A62" s="42">
        <v>53</v>
      </c>
      <c r="B62" s="371"/>
      <c r="C62" s="28">
        <f t="shared" si="2"/>
        <v>44297</v>
      </c>
      <c r="D62" s="5">
        <f>SUMIF('Fallzahlen (Berechnung)'!D:D,"&lt;="&amp;Prognoseergebnis!C62,'Fallzahlen (Berechnung)'!E:E)-'Fallzahlen (Berechnung)'!$E$1</f>
        <v>620812</v>
      </c>
      <c r="E62" s="115">
        <f>VLOOKUP(C62,'Fallzahlen (Berechnung)'!$D:$E,'Fallzahlen (Berechnung)'!$E$1,FALSE)</f>
        <v>1175</v>
      </c>
      <c r="F62" s="26"/>
      <c r="G62" s="18">
        <v>53</v>
      </c>
      <c r="H62" s="5">
        <f>ROUND('Erkrankungs- und Strukturdaten'!$C$8*D62-IF(G62&gt;'Erkrankungs- und Strukturdaten'!$C$14,VLOOKUP(Prognoseergebnis!G62-ROUNDDOWN('Erkrankungs- und Strukturdaten'!$C$14,0),$A:$D,$D$6,FALSE)*'Erkrankungs- und Strukturdaten'!$C$8,0)
+IF(G62&gt;'Erkrankungs- und Strukturdaten'!$C$15,VLOOKUP(Prognoseergebnis!G62-ROUNDDOWN('Erkrankungs- und Strukturdaten'!$C$15,0),A:D,$D$6,FALSE)*'Erkrankungs- und Strukturdaten'!$C$9,0)
-IF(G62&gt;'Erkrankungs- und Strukturdaten'!$C$15+'Erkrankungs- und Strukturdaten'!$C$16,VLOOKUP(Prognoseergebnis!G62-ROUNDDOWN('Erkrankungs- und Strukturdaten'!$C$15-'Erkrankungs- und Strukturdaten'!$C$16,0),A:D,$D$6,FALSE)*'Erkrankungs- und Strukturdaten'!$C$9,0),0)</f>
        <v>1853</v>
      </c>
      <c r="I62" s="5">
        <f>ROUND('Erkrankungs- und Strukturdaten'!$C$9*D62-IF(G62&gt;'Erkrankungs- und Strukturdaten'!$C$15,VLOOKUP(Prognoseergebnis!G62-'Erkrankungs- und Strukturdaten'!$C$15,$A:$D,$D$6,FALSE)*'Erkrankungs- und Strukturdaten'!$C$9,0),0)</f>
        <v>307</v>
      </c>
      <c r="J62" s="5">
        <f>I62*'Erkrankungs- und Strukturdaten'!$C$10/'Erkrankungs- und Strukturdaten'!$C$9</f>
        <v>150.43</v>
      </c>
      <c r="K62" s="5">
        <f>I62*'Erkrankungs- und Strukturdaten'!$C$21</f>
        <v>6140</v>
      </c>
      <c r="L62" s="11"/>
      <c r="N62" s="9"/>
      <c r="O62" s="5">
        <f>IF(AND(((H62/'Erkrankungs- und Strukturdaten'!$C$25)*'Erkrankungs- und Strukturdaten'!$E$27)+(H62/'Erkrankungs- und Strukturdaten'!$C$26)&lt;1,((H62/'Erkrankungs- und Strukturdaten'!$C$25)*'Erkrankungs- und Strukturdaten'!$E$27)+(H62/'Erkrankungs- und Strukturdaten'!$C$26)&gt;0),1,((H62/'Erkrankungs- und Strukturdaten'!$C$25)*'Erkrankungs- und Strukturdaten'!$E$27)+(H62/'Erkrankungs- und Strukturdaten'!$C$26))</f>
        <v>802.9666666666667</v>
      </c>
      <c r="P62" s="5">
        <f>ROUNDUP(((I62/'Erkrankungs- und Strukturdaten'!$C$28)*'Erkrankungs- und Strukturdaten'!$E$30)+(I62/'Erkrankungs- und Strukturdaten'!$C$29),0)</f>
        <v>334</v>
      </c>
      <c r="Q62" s="5">
        <f>ROUNDUP((H62/'Erkrankungs- und Strukturdaten'!$C$34*'Erkrankungs- und Strukturdaten'!$E$36)+(H62/'Erkrankungs- und Strukturdaten'!$C$35),0)</f>
        <v>129</v>
      </c>
      <c r="R62" s="5">
        <f>ROUNDUP((I62*'Erkrankungs- und Strukturdaten'!$C$40/'Erkrankungs- und Strukturdaten'!$C$38*'Erkrankungs- und Strukturdaten'!$E$39)+(I62*(1-'Erkrankungs- und Strukturdaten'!$C$40)/'Erkrankungs- und Strukturdaten'!$C$37*'Erkrankungs- und Strukturdaten'!$E$39),0)</f>
        <v>42</v>
      </c>
      <c r="S62" s="19"/>
      <c r="T62" s="51"/>
      <c r="U62" s="42"/>
      <c r="V62" s="42"/>
    </row>
    <row r="63" spans="1:22" ht="14.85" hidden="1" customHeight="1" x14ac:dyDescent="0.2">
      <c r="A63" s="42">
        <v>54</v>
      </c>
      <c r="B63" s="371"/>
      <c r="C63" s="27">
        <f t="shared" si="2"/>
        <v>44298</v>
      </c>
      <c r="D63" s="6">
        <f>SUMIF('Fallzahlen (Berechnung)'!D:D,"&lt;="&amp;Prognoseergebnis!C63,'Fallzahlen (Berechnung)'!E:E)-'Fallzahlen (Berechnung)'!$E$1</f>
        <v>623546</v>
      </c>
      <c r="E63" s="114">
        <f>VLOOKUP(C63,'Fallzahlen (Berechnung)'!$D:$E,'Fallzahlen (Berechnung)'!$E$1,FALSE)</f>
        <v>2734</v>
      </c>
      <c r="F63" s="26"/>
      <c r="G63" s="18">
        <v>54</v>
      </c>
      <c r="H63" s="6">
        <f>ROUND('Erkrankungs- und Strukturdaten'!$C$8*D63-IF(G63&gt;'Erkrankungs- und Strukturdaten'!$C$14,VLOOKUP(Prognoseergebnis!G63-ROUNDDOWN('Erkrankungs- und Strukturdaten'!$C$14,0),$A:$D,$D$6,FALSE)*'Erkrankungs- und Strukturdaten'!$C$8,0)
+IF(G63&gt;'Erkrankungs- und Strukturdaten'!$C$15,VLOOKUP(Prognoseergebnis!G63-ROUNDDOWN('Erkrankungs- und Strukturdaten'!$C$15,0),A:D,$D$6,FALSE)*'Erkrankungs- und Strukturdaten'!$C$9,0)
-IF(G63&gt;'Erkrankungs- und Strukturdaten'!$C$15+'Erkrankungs- und Strukturdaten'!$C$16,VLOOKUP(Prognoseergebnis!G63-ROUNDDOWN('Erkrankungs- und Strukturdaten'!$C$15-'Erkrankungs- und Strukturdaten'!$C$16,0),A:D,$D$6,FALSE)*'Erkrankungs- und Strukturdaten'!$C$9,0),0)</f>
        <v>2052</v>
      </c>
      <c r="I63" s="6">
        <f>ROUND('Erkrankungs- und Strukturdaten'!$C$9*D63-IF(G63&gt;'Erkrankungs- und Strukturdaten'!$C$15,VLOOKUP(Prognoseergebnis!G63-'Erkrankungs- und Strukturdaten'!$C$15,$A:$D,$D$6,FALSE)*'Erkrankungs- und Strukturdaten'!$C$9,0),0)</f>
        <v>326</v>
      </c>
      <c r="J63" s="6">
        <f>I63*'Erkrankungs- und Strukturdaten'!$C$10/'Erkrankungs- und Strukturdaten'!$C$9</f>
        <v>159.74</v>
      </c>
      <c r="K63" s="6">
        <f>I63*'Erkrankungs- und Strukturdaten'!$C$21</f>
        <v>6520</v>
      </c>
      <c r="L63" s="11"/>
      <c r="N63" s="9"/>
      <c r="O63" s="6">
        <f>IF(AND(((H63/'Erkrankungs- und Strukturdaten'!$C$25)*'Erkrankungs- und Strukturdaten'!$E$27)+(H63/'Erkrankungs- und Strukturdaten'!$C$26)&lt;1,((H63/'Erkrankungs- und Strukturdaten'!$C$25)*'Erkrankungs- und Strukturdaten'!$E$27)+(H63/'Erkrankungs- und Strukturdaten'!$C$26)&gt;0),1,((H63/'Erkrankungs- und Strukturdaten'!$C$25)*'Erkrankungs- und Strukturdaten'!$E$27)+(H63/'Erkrankungs- und Strukturdaten'!$C$26))</f>
        <v>889.2</v>
      </c>
      <c r="P63" s="6">
        <f>ROUNDUP(((I63/'Erkrankungs- und Strukturdaten'!$C$28)*'Erkrankungs- und Strukturdaten'!$E$30)+(I63/'Erkrankungs- und Strukturdaten'!$C$29),0)</f>
        <v>354</v>
      </c>
      <c r="Q63" s="6">
        <f>ROUNDUP((H63/'Erkrankungs- und Strukturdaten'!$C$34*'Erkrankungs- und Strukturdaten'!$E$36)+(H63/'Erkrankungs- und Strukturdaten'!$C$35),0)</f>
        <v>143</v>
      </c>
      <c r="R63" s="6">
        <f>ROUNDUP((I63*'Erkrankungs- und Strukturdaten'!$C$40/'Erkrankungs- und Strukturdaten'!$C$38*'Erkrankungs- und Strukturdaten'!$E$39)+(I63*(1-'Erkrankungs- und Strukturdaten'!$C$40)/'Erkrankungs- und Strukturdaten'!$C$37*'Erkrankungs- und Strukturdaten'!$E$39),0)</f>
        <v>45</v>
      </c>
      <c r="S63" s="19"/>
      <c r="T63" s="51"/>
      <c r="U63" s="42"/>
      <c r="V63" s="42"/>
    </row>
    <row r="64" spans="1:22" ht="14.85" hidden="1" customHeight="1" x14ac:dyDescent="0.2">
      <c r="A64" s="42">
        <v>55</v>
      </c>
      <c r="B64" s="371"/>
      <c r="C64" s="28">
        <f>C65-1</f>
        <v>44299</v>
      </c>
      <c r="D64" s="5">
        <f>SUMIF('Fallzahlen (Berechnung)'!D:D,"&lt;="&amp;Prognoseergebnis!C64,'Fallzahlen (Berechnung)'!E:E)-'Fallzahlen (Berechnung)'!$E$1</f>
        <v>625871</v>
      </c>
      <c r="E64" s="115">
        <f>VLOOKUP(C64,'Fallzahlen (Berechnung)'!$D:$E,'Fallzahlen (Berechnung)'!$E$1,FALSE)</f>
        <v>2325</v>
      </c>
      <c r="F64" s="26"/>
      <c r="G64" s="18">
        <v>55</v>
      </c>
      <c r="H64" s="5">
        <f>ROUND('Erkrankungs- und Strukturdaten'!$C$8*D64-IF(G64&gt;'Erkrankungs- und Strukturdaten'!$C$14,VLOOKUP(Prognoseergebnis!G64-ROUNDDOWN('Erkrankungs- und Strukturdaten'!$C$14,0),$A:$D,$D$6,FALSE)*'Erkrankungs- und Strukturdaten'!$C$8,0)
+IF(G64&gt;'Erkrankungs- und Strukturdaten'!$C$15,VLOOKUP(Prognoseergebnis!G64-ROUNDDOWN('Erkrankungs- und Strukturdaten'!$C$15,0),A:D,$D$6,FALSE)*'Erkrankungs- und Strukturdaten'!$C$9,0)
-IF(G64&gt;'Erkrankungs- und Strukturdaten'!$C$15+'Erkrankungs- und Strukturdaten'!$C$16,VLOOKUP(Prognoseergebnis!G64-ROUNDDOWN('Erkrankungs- und Strukturdaten'!$C$15-'Erkrankungs- und Strukturdaten'!$C$16,0),A:D,$D$6,FALSE)*'Erkrankungs- und Strukturdaten'!$C$9,0),0)</f>
        <v>2018</v>
      </c>
      <c r="I64" s="5">
        <f>ROUND('Erkrankungs- und Strukturdaten'!$C$9*D64-IF(G64&gt;'Erkrankungs- und Strukturdaten'!$C$15,VLOOKUP(Prognoseergebnis!G64-'Erkrankungs- und Strukturdaten'!$C$15,$A:$D,$D$6,FALSE)*'Erkrankungs- und Strukturdaten'!$C$9,0),0)</f>
        <v>324</v>
      </c>
      <c r="J64" s="5">
        <f>I64*'Erkrankungs- und Strukturdaten'!$C$10/'Erkrankungs- und Strukturdaten'!$C$9</f>
        <v>158.76</v>
      </c>
      <c r="K64" s="5">
        <f>I64*'Erkrankungs- und Strukturdaten'!$C$21</f>
        <v>6480</v>
      </c>
      <c r="L64" s="11"/>
      <c r="N64" s="9"/>
      <c r="O64" s="5">
        <f>IF(AND(((H64/'Erkrankungs- und Strukturdaten'!$C$25)*'Erkrankungs- und Strukturdaten'!$E$27)+(H64/'Erkrankungs- und Strukturdaten'!$C$26)&lt;1,((H64/'Erkrankungs- und Strukturdaten'!$C$25)*'Erkrankungs- und Strukturdaten'!$E$27)+(H64/'Erkrankungs- und Strukturdaten'!$C$26)&gt;0),1,((H64/'Erkrankungs- und Strukturdaten'!$C$25)*'Erkrankungs- und Strukturdaten'!$E$27)+(H64/'Erkrankungs- und Strukturdaten'!$C$26))</f>
        <v>874.4666666666667</v>
      </c>
      <c r="P64" s="5">
        <f>ROUNDUP(((I64/'Erkrankungs- und Strukturdaten'!$C$28)*'Erkrankungs- und Strukturdaten'!$E$30)+(I64/'Erkrankungs- und Strukturdaten'!$C$29),0)</f>
        <v>352</v>
      </c>
      <c r="Q64" s="5">
        <f>ROUNDUP((H64/'Erkrankungs- und Strukturdaten'!$C$34*'Erkrankungs- und Strukturdaten'!$E$36)+(H64/'Erkrankungs- und Strukturdaten'!$C$35),0)</f>
        <v>141</v>
      </c>
      <c r="R64" s="5">
        <f>ROUNDUP((I64*'Erkrankungs- und Strukturdaten'!$C$40/'Erkrankungs- und Strukturdaten'!$C$38*'Erkrankungs- und Strukturdaten'!$E$39)+(I64*(1-'Erkrankungs- und Strukturdaten'!$C$40)/'Erkrankungs- und Strukturdaten'!$C$37*'Erkrankungs- und Strukturdaten'!$E$39),0)</f>
        <v>45</v>
      </c>
      <c r="S64" s="19"/>
      <c r="T64" s="51"/>
      <c r="U64" s="42"/>
      <c r="V64" s="42"/>
    </row>
    <row r="65" spans="1:28" ht="14.85" hidden="1" customHeight="1" x14ac:dyDescent="0.2">
      <c r="A65" s="42">
        <v>56</v>
      </c>
      <c r="B65" s="371"/>
      <c r="C65" s="27">
        <f>Prognoseparameter!C9</f>
        <v>44300</v>
      </c>
      <c r="D65" s="6">
        <f>SUMIF('Fallzahlen (Berechnung)'!D:D,"&lt;="&amp;Prognoseergebnis!C65,'Fallzahlen (Berechnung)'!E:E)-'Fallzahlen (Berechnung)'!$E$1</f>
        <v>627327</v>
      </c>
      <c r="E65" s="119">
        <f>VLOOKUP(C65,'Fallzahlen (Berechnung)'!$D:$E,'Fallzahlen (Berechnung)'!$E$1,FALSE)</f>
        <v>1456</v>
      </c>
      <c r="F65" s="26"/>
      <c r="G65" s="18">
        <v>56</v>
      </c>
      <c r="H65" s="6">
        <f>ROUND('Erkrankungs- und Strukturdaten'!$C$8*D65-IF(G65&gt;'Erkrankungs- und Strukturdaten'!$C$14,VLOOKUP(Prognoseergebnis!G65-ROUNDDOWN('Erkrankungs- und Strukturdaten'!$C$14,0),$A:$D,$D$6,FALSE)*'Erkrankungs- und Strukturdaten'!$C$8,0)
+IF(G65&gt;'Erkrankungs- und Strukturdaten'!$C$15,VLOOKUP(Prognoseergebnis!G65-ROUNDDOWN('Erkrankungs- und Strukturdaten'!$C$15,0),A:D,$D$6,FALSE)*'Erkrankungs- und Strukturdaten'!$C$9,0)
-IF(G65&gt;'Erkrankungs- und Strukturdaten'!$C$15+'Erkrankungs- und Strukturdaten'!$C$16,VLOOKUP(Prognoseergebnis!G65-ROUNDDOWN('Erkrankungs- und Strukturdaten'!$C$15-'Erkrankungs- und Strukturdaten'!$C$16,0),A:D,$D$6,FALSE)*'Erkrankungs- und Strukturdaten'!$C$9,0),0)</f>
        <v>1897</v>
      </c>
      <c r="I65" s="6">
        <f>ROUND('Erkrankungs- und Strukturdaten'!$C$9*D65-IF(G65&gt;'Erkrankungs- und Strukturdaten'!$C$15,VLOOKUP(Prognoseergebnis!G65-'Erkrankungs- und Strukturdaten'!$C$15,$A:$D,$D$6,FALSE)*'Erkrankungs- und Strukturdaten'!$C$9,0),0)</f>
        <v>317</v>
      </c>
      <c r="J65" s="6">
        <f>I65*'Erkrankungs- und Strukturdaten'!$C$10/'Erkrankungs- und Strukturdaten'!$C$9</f>
        <v>155.32999999999998</v>
      </c>
      <c r="K65" s="6">
        <f>I65*'Erkrankungs- und Strukturdaten'!$C$21</f>
        <v>6340</v>
      </c>
      <c r="L65" s="11"/>
      <c r="N65" s="9"/>
      <c r="O65" s="6">
        <f>IF(AND(((H65/'Erkrankungs- und Strukturdaten'!$C$25)*'Erkrankungs- und Strukturdaten'!$E$27)+(H65/'Erkrankungs- und Strukturdaten'!$C$26)&lt;1,((H65/'Erkrankungs- und Strukturdaten'!$C$25)*'Erkrankungs- und Strukturdaten'!$E$27)+(H65/'Erkrankungs- und Strukturdaten'!$C$26)&gt;0),1,((H65/'Erkrankungs- und Strukturdaten'!$C$25)*'Erkrankungs- und Strukturdaten'!$E$27)+(H65/'Erkrankungs- und Strukturdaten'!$C$26))</f>
        <v>822.0333333333333</v>
      </c>
      <c r="P65" s="6">
        <f>ROUNDUP(((I65/'Erkrankungs- und Strukturdaten'!$C$28)*'Erkrankungs- und Strukturdaten'!$E$30)+(I65/'Erkrankungs- und Strukturdaten'!$C$29),0)</f>
        <v>345</v>
      </c>
      <c r="Q65" s="6">
        <f>ROUNDUP((H65/'Erkrankungs- und Strukturdaten'!$C$34*'Erkrankungs- und Strukturdaten'!$E$36)+(H65/'Erkrankungs- und Strukturdaten'!$C$35),0)</f>
        <v>132</v>
      </c>
      <c r="R65" s="6">
        <f>ROUNDUP((I65*'Erkrankungs- und Strukturdaten'!$C$40/'Erkrankungs- und Strukturdaten'!$C$38*'Erkrankungs- und Strukturdaten'!$E$39)+(I65*(1-'Erkrankungs- und Strukturdaten'!$C$40)/'Erkrankungs- und Strukturdaten'!$C$37*'Erkrankungs- und Strukturdaten'!$E$39),0)</f>
        <v>44</v>
      </c>
      <c r="S65" s="19"/>
      <c r="T65" s="51"/>
      <c r="U65" s="42"/>
      <c r="V65" s="42"/>
    </row>
    <row r="66" spans="1:28" ht="14.85" customHeight="1" x14ac:dyDescent="0.2">
      <c r="A66" s="42">
        <v>57</v>
      </c>
      <c r="B66" s="370" t="s">
        <v>30</v>
      </c>
      <c r="C66" s="78">
        <f>C65+1</f>
        <v>44301</v>
      </c>
      <c r="D66" s="4">
        <f>SUMIF('Fallzahlen (Berechnung)'!D:D,"&lt;="&amp;Prognoseergebnis!C66,'Fallzahlen (Berechnung)'!E:E)-'Fallzahlen (Berechnung)'!$E$1</f>
        <v>630077.85586232133</v>
      </c>
      <c r="E66" s="116">
        <f>VLOOKUP(C66,'Fallzahlen (Berechnung)'!$D:$E,'Fallzahlen (Berechnung)'!$E$1,FALSE)</f>
        <v>2750.8558623212934</v>
      </c>
      <c r="F66" s="26"/>
      <c r="G66" s="18">
        <v>57</v>
      </c>
      <c r="H66" s="4">
        <f>ROUND('Erkrankungs- und Strukturdaten'!$C$8*D66-IF(G66&gt;'Erkrankungs- und Strukturdaten'!$C$14,VLOOKUP(Prognoseergebnis!G66-ROUNDDOWN('Erkrankungs- und Strukturdaten'!$C$14,0),$A:$D,$D$6,FALSE)*'Erkrankungs- und Strukturdaten'!$C$8,0)
+IF(G66&gt;'Erkrankungs- und Strukturdaten'!$C$15,VLOOKUP(Prognoseergebnis!G66-ROUNDDOWN('Erkrankungs- und Strukturdaten'!$C$15,0),A:D,$D$6,FALSE)*'Erkrankungs- und Strukturdaten'!$C$9,0)
-IF(G66&gt;'Erkrankungs- und Strukturdaten'!$C$15+'Erkrankungs- und Strukturdaten'!$C$16,VLOOKUP(Prognoseergebnis!G66-ROUNDDOWN('Erkrankungs- und Strukturdaten'!$C$15-'Erkrankungs- und Strukturdaten'!$C$16,0),A:D,$D$6,FALSE)*'Erkrankungs- und Strukturdaten'!$C$9,0),0)</f>
        <v>1928</v>
      </c>
      <c r="I66" s="4">
        <f>ROUND('Erkrankungs- und Strukturdaten'!$C$9*D66-IF(G66&gt;'Erkrankungs- und Strukturdaten'!$C$15,VLOOKUP(Prognoseergebnis!G66-'Erkrankungs- und Strukturdaten'!$C$15,$A:$D,$D$6,FALSE)*'Erkrankungs- und Strukturdaten'!$C$9,0),0)</f>
        <v>324</v>
      </c>
      <c r="J66" s="4">
        <f>I66*'Erkrankungs- und Strukturdaten'!$C$10/'Erkrankungs- und Strukturdaten'!$C$9</f>
        <v>158.76</v>
      </c>
      <c r="K66" s="4">
        <f>I66*'Erkrankungs- und Strukturdaten'!$C$21</f>
        <v>6480</v>
      </c>
      <c r="L66" s="11"/>
      <c r="M66" s="82">
        <f>SUM($K$66:K66)</f>
        <v>6480</v>
      </c>
      <c r="N66" s="9"/>
      <c r="O66" s="4">
        <f>IF(AND(((H66/'Erkrankungs- und Strukturdaten'!$C$25)*'Erkrankungs- und Strukturdaten'!$E$27)+(H66/'Erkrankungs- und Strukturdaten'!$C$26)&lt;1,((H66/'Erkrankungs- und Strukturdaten'!$C$25)*'Erkrankungs- und Strukturdaten'!$E$27)+(H66/'Erkrankungs- und Strukturdaten'!$C$26)&gt;0),1,((H66/'Erkrankungs- und Strukturdaten'!$C$25)*'Erkrankungs- und Strukturdaten'!$E$27)+(H66/'Erkrankungs- und Strukturdaten'!$C$26))</f>
        <v>835.4666666666667</v>
      </c>
      <c r="P66" s="4">
        <f>ROUNDUP(((I66/'Erkrankungs- und Strukturdaten'!$C$28)*'Erkrankungs- und Strukturdaten'!$E$30)+(I66/'Erkrankungs- und Strukturdaten'!$C$29),0)</f>
        <v>352</v>
      </c>
      <c r="Q66" s="4">
        <f>ROUNDUP((H66/'Erkrankungs- und Strukturdaten'!$C$34*'Erkrankungs- und Strukturdaten'!$E$36)+(H66/'Erkrankungs- und Strukturdaten'!$C$35),0)</f>
        <v>134</v>
      </c>
      <c r="R66" s="4">
        <f>ROUNDUP((I66*'Erkrankungs- und Strukturdaten'!$C$40/'Erkrankungs- und Strukturdaten'!$C$38*'Erkrankungs- und Strukturdaten'!$E$39)+(I66*(1-'Erkrankungs- und Strukturdaten'!$C$40)/'Erkrankungs- und Strukturdaten'!$C$37*'Erkrankungs- und Strukturdaten'!$E$39),0)</f>
        <v>45</v>
      </c>
      <c r="S66" s="52"/>
      <c r="T66" s="51"/>
      <c r="U66" s="44">
        <f>((H66/'Erkrankungs- und Strukturdaten'!$C$25)*'Erkrankungs- und Strukturdaten'!$E$27*'Erkrankungs- und Strukturdaten'!$F$27)+(H66/'Erkrankungs- und Strukturdaten'!$C$26*'Erkrankungs- und Strukturdaten'!$G$27)</f>
        <v>6876.5333333333328</v>
      </c>
      <c r="V66" s="44">
        <f>(I66/'Erkrankungs- und Strukturdaten'!$C$28*'Erkrankungs- und Strukturdaten'!$E$30*'Erkrankungs- und Strukturdaten'!$F$30)+(I66/'Erkrankungs- und Strukturdaten'!$C$29*'Erkrankungs- und Strukturdaten'!$G$30)</f>
        <v>2875.2685714285712</v>
      </c>
      <c r="AB66" s="2">
        <f>C66</f>
        <v>44301</v>
      </c>
    </row>
    <row r="67" spans="1:28" ht="15" x14ac:dyDescent="0.2">
      <c r="A67" s="42">
        <v>58</v>
      </c>
      <c r="B67" s="370"/>
      <c r="C67" s="27">
        <f>C66+1</f>
        <v>44302</v>
      </c>
      <c r="D67" s="6">
        <f>SUMIF('Fallzahlen (Berechnung)'!D:D,"&lt;="&amp;Prognoseergebnis!C67,'Fallzahlen (Berechnung)'!E:E)-'Fallzahlen (Berechnung)'!$E$1</f>
        <v>632585.93722136202</v>
      </c>
      <c r="E67" s="114">
        <f>VLOOKUP(C67,'Fallzahlen (Berechnung)'!$D:$E,'Fallzahlen (Berechnung)'!$E$1,FALSE)</f>
        <v>2508.0813590407165</v>
      </c>
      <c r="F67" s="26"/>
      <c r="G67" s="18">
        <v>58</v>
      </c>
      <c r="H67" s="6">
        <f>ROUND('Erkrankungs- und Strukturdaten'!$C$8*D67-IF(G67&gt;'Erkrankungs- und Strukturdaten'!$C$14,VLOOKUP(Prognoseergebnis!G67-ROUNDDOWN('Erkrankungs- und Strukturdaten'!$C$14,0),$A:$D,$D$6,FALSE)*'Erkrankungs- und Strukturdaten'!$C$8,0)
+IF(G67&gt;'Erkrankungs- und Strukturdaten'!$C$15,VLOOKUP(Prognoseergebnis!G67-ROUNDDOWN('Erkrankungs- und Strukturdaten'!$C$15,0),A:D,$D$6,FALSE)*'Erkrankungs- und Strukturdaten'!$C$9,0)
-IF(G67&gt;'Erkrankungs- und Strukturdaten'!$C$15+'Erkrankungs- und Strukturdaten'!$C$16,VLOOKUP(Prognoseergebnis!G67-ROUNDDOWN('Erkrankungs- und Strukturdaten'!$C$15-'Erkrankungs- und Strukturdaten'!$C$16,0),A:D,$D$6,FALSE)*'Erkrankungs- und Strukturdaten'!$C$9,0),0)</f>
        <v>1937</v>
      </c>
      <c r="I67" s="6">
        <f>ROUND('Erkrankungs- und Strukturdaten'!$C$9*D67-IF(G67&gt;'Erkrankungs- und Strukturdaten'!$C$15,VLOOKUP(Prognoseergebnis!G67-'Erkrankungs- und Strukturdaten'!$C$15,$A:$D,$D$6,FALSE)*'Erkrankungs- und Strukturdaten'!$C$9,0),0)</f>
        <v>330</v>
      </c>
      <c r="J67" s="6">
        <f>I67*'Erkrankungs- und Strukturdaten'!$C$10/'Erkrankungs- und Strukturdaten'!$C$9</f>
        <v>161.69999999999999</v>
      </c>
      <c r="K67" s="6">
        <f>I67*'Erkrankungs- und Strukturdaten'!$C$21</f>
        <v>6600</v>
      </c>
      <c r="L67" s="12"/>
      <c r="M67" s="82">
        <f>SUM($K$66:K67)</f>
        <v>13080</v>
      </c>
      <c r="N67" s="10"/>
      <c r="O67" s="6">
        <f>IF(AND(((H67/'Erkrankungs- und Strukturdaten'!$C$25)*'Erkrankungs- und Strukturdaten'!$E$27)+(H67/'Erkrankungs- und Strukturdaten'!$C$26)&lt;1,((H67/'Erkrankungs- und Strukturdaten'!$C$25)*'Erkrankungs- und Strukturdaten'!$E$27)+(H67/'Erkrankungs- und Strukturdaten'!$C$26)&gt;0),1,((H67/'Erkrankungs- und Strukturdaten'!$C$25)*'Erkrankungs- und Strukturdaten'!$E$27)+(H67/'Erkrankungs- und Strukturdaten'!$C$26))</f>
        <v>839.36666666666656</v>
      </c>
      <c r="P67" s="6">
        <f>ROUNDUP(((I67/'Erkrankungs- und Strukturdaten'!$C$28)*'Erkrankungs- und Strukturdaten'!$E$30)+(I67/'Erkrankungs- und Strukturdaten'!$C$29),0)</f>
        <v>359</v>
      </c>
      <c r="Q67" s="6">
        <f>ROUNDUP((H67/'Erkrankungs- und Strukturdaten'!$C$34*'Erkrankungs- und Strukturdaten'!$E$36)+(H67/'Erkrankungs- und Strukturdaten'!$C$35),0)</f>
        <v>135</v>
      </c>
      <c r="R67" s="6">
        <f>ROUNDUP((I67*'Erkrankungs- und Strukturdaten'!$C$40/'Erkrankungs- und Strukturdaten'!$C$38*'Erkrankungs- und Strukturdaten'!$E$39)+(I67*(1-'Erkrankungs- und Strukturdaten'!$C$40)/'Erkrankungs- und Strukturdaten'!$C$37*'Erkrankungs- und Strukturdaten'!$E$39),0)</f>
        <v>46</v>
      </c>
      <c r="S67" s="53"/>
      <c r="T67" s="51"/>
      <c r="U67" s="44">
        <f>((H67/'Erkrankungs- und Strukturdaten'!$C$25)*'Erkrankungs- und Strukturdaten'!$E$27*'Erkrankungs- und Strukturdaten'!$F$27)+(H67/'Erkrankungs- und Strukturdaten'!$C$26*'Erkrankungs- und Strukturdaten'!$G$27)</f>
        <v>6908.6333333333332</v>
      </c>
      <c r="V67" s="44">
        <f>(I67/'Erkrankungs- und Strukturdaten'!$C$28*'Erkrankungs- und Strukturdaten'!$E$30*'Erkrankungs- und Strukturdaten'!$F$30)+(I67/'Erkrankungs- und Strukturdaten'!$C$29*'Erkrankungs- und Strukturdaten'!$G$30)</f>
        <v>2928.5142857142855</v>
      </c>
      <c r="AB67" s="2">
        <f t="shared" ref="AB67:AB130" si="3">C67</f>
        <v>44302</v>
      </c>
    </row>
    <row r="68" spans="1:28" ht="15" x14ac:dyDescent="0.2">
      <c r="A68" s="42">
        <v>59</v>
      </c>
      <c r="B68" s="370"/>
      <c r="C68" s="28">
        <f t="shared" ref="C68:C130" si="4">C67+1</f>
        <v>44303</v>
      </c>
      <c r="D68" s="5">
        <f>SUMIF('Fallzahlen (Berechnung)'!D:D,"&lt;="&amp;Prognoseergebnis!C68,'Fallzahlen (Berechnung)'!E:E)-'Fallzahlen (Berechnung)'!$E$1</f>
        <v>634259.42339997564</v>
      </c>
      <c r="E68" s="115">
        <f>VLOOKUP(C68,'Fallzahlen (Berechnung)'!$D:$E,'Fallzahlen (Berechnung)'!$E$1,FALSE)</f>
        <v>1673.4861786136416</v>
      </c>
      <c r="F68" s="26"/>
      <c r="G68" s="18">
        <v>59</v>
      </c>
      <c r="H68" s="5">
        <f>ROUND('Erkrankungs- und Strukturdaten'!$C$8*D68-IF(G68&gt;'Erkrankungs- und Strukturdaten'!$C$14,VLOOKUP(Prognoseergebnis!G68-ROUNDDOWN('Erkrankungs- und Strukturdaten'!$C$14,0),$A:$D,$D$6,FALSE)*'Erkrankungs- und Strukturdaten'!$C$8,0)
+IF(G68&gt;'Erkrankungs- und Strukturdaten'!$C$15,VLOOKUP(Prognoseergebnis!G68-ROUNDDOWN('Erkrankungs- und Strukturdaten'!$C$15,0),A:D,$D$6,FALSE)*'Erkrankungs- und Strukturdaten'!$C$9,0)
-IF(G68&gt;'Erkrankungs- und Strukturdaten'!$C$15+'Erkrankungs- und Strukturdaten'!$C$16,VLOOKUP(Prognoseergebnis!G68-ROUNDDOWN('Erkrankungs- und Strukturdaten'!$C$15-'Erkrankungs- und Strukturdaten'!$C$16,0),A:D,$D$6,FALSE)*'Erkrankungs- und Strukturdaten'!$C$9,0),0)</f>
        <v>1922</v>
      </c>
      <c r="I68" s="5">
        <f>ROUND('Erkrankungs- und Strukturdaten'!$C$9*D68-IF(G68&gt;'Erkrankungs- und Strukturdaten'!$C$15,VLOOKUP(Prognoseergebnis!G68-'Erkrankungs- und Strukturdaten'!$C$15,$A:$D,$D$6,FALSE)*'Erkrankungs- und Strukturdaten'!$C$9,0),0)</f>
        <v>335</v>
      </c>
      <c r="J68" s="5">
        <f>I68*'Erkrankungs- und Strukturdaten'!$C$10/'Erkrankungs- und Strukturdaten'!$C$9</f>
        <v>164.15</v>
      </c>
      <c r="K68" s="5">
        <f>I68*'Erkrankungs- und Strukturdaten'!$C$21</f>
        <v>6700</v>
      </c>
      <c r="L68" s="11"/>
      <c r="M68" s="82">
        <f>SUM($K$66:K68)</f>
        <v>19780</v>
      </c>
      <c r="N68" s="9"/>
      <c r="O68" s="5">
        <f>IF(AND(((H68/'Erkrankungs- und Strukturdaten'!$C$25)*'Erkrankungs- und Strukturdaten'!$E$27)+(H68/'Erkrankungs- und Strukturdaten'!$C$26)&lt;1,((H68/'Erkrankungs- und Strukturdaten'!$C$25)*'Erkrankungs- und Strukturdaten'!$E$27)+(H68/'Erkrankungs- und Strukturdaten'!$C$26)&gt;0),1,((H68/'Erkrankungs- und Strukturdaten'!$C$25)*'Erkrankungs- und Strukturdaten'!$E$27)+(H68/'Erkrankungs- und Strukturdaten'!$C$26))</f>
        <v>832.86666666666656</v>
      </c>
      <c r="P68" s="5">
        <f>ROUNDUP(((I68/'Erkrankungs- und Strukturdaten'!$C$28)*'Erkrankungs- und Strukturdaten'!$E$30)+(I68/'Erkrankungs- und Strukturdaten'!$C$29),0)</f>
        <v>364</v>
      </c>
      <c r="Q68" s="5">
        <f>ROUNDUP((H68/'Erkrankungs- und Strukturdaten'!$C$34*'Erkrankungs- und Strukturdaten'!$E$36)+(H68/'Erkrankungs- und Strukturdaten'!$C$35),0)</f>
        <v>134</v>
      </c>
      <c r="R68" s="5">
        <f>ROUNDUP((I68*'Erkrankungs- und Strukturdaten'!$C$40/'Erkrankungs- und Strukturdaten'!$C$38*'Erkrankungs- und Strukturdaten'!$E$39)+(I68*(1-'Erkrankungs- und Strukturdaten'!$C$40)/'Erkrankungs- und Strukturdaten'!$C$37*'Erkrankungs- und Strukturdaten'!$E$39),0)</f>
        <v>46</v>
      </c>
      <c r="S68" s="52"/>
      <c r="T68" s="51"/>
      <c r="U68" s="44">
        <f>((H68/'Erkrankungs- und Strukturdaten'!$C$25)*'Erkrankungs- und Strukturdaten'!$E$27*'Erkrankungs- und Strukturdaten'!$F$27)+(H68/'Erkrankungs- und Strukturdaten'!$C$26*'Erkrankungs- und Strukturdaten'!$G$27)</f>
        <v>6855.1333333333332</v>
      </c>
      <c r="V68" s="44">
        <f>(I68/'Erkrankungs- und Strukturdaten'!$C$28*'Erkrankungs- und Strukturdaten'!$E$30*'Erkrankungs- und Strukturdaten'!$F$30)+(I68/'Erkrankungs- und Strukturdaten'!$C$29*'Erkrankungs- und Strukturdaten'!$G$30)</f>
        <v>2972.8857142857141</v>
      </c>
      <c r="AB68" s="2">
        <f t="shared" si="3"/>
        <v>44303</v>
      </c>
    </row>
    <row r="69" spans="1:28" ht="15" x14ac:dyDescent="0.2">
      <c r="A69" s="42">
        <v>60</v>
      </c>
      <c r="B69" s="370"/>
      <c r="C69" s="27">
        <f t="shared" si="4"/>
        <v>44304</v>
      </c>
      <c r="D69" s="6">
        <f>SUMIF('Fallzahlen (Berechnung)'!D:D,"&lt;="&amp;Prognoseergebnis!C69,'Fallzahlen (Berechnung)'!E:E)-'Fallzahlen (Berechnung)'!$E$1</f>
        <v>635454.19622795959</v>
      </c>
      <c r="E69" s="114">
        <f>VLOOKUP(C69,'Fallzahlen (Berechnung)'!$D:$E,'Fallzahlen (Berechnung)'!$E$1,FALSE)</f>
        <v>1194.7728279839255</v>
      </c>
      <c r="F69" s="26"/>
      <c r="G69" s="18">
        <v>60</v>
      </c>
      <c r="H69" s="6">
        <f>ROUND('Erkrankungs- und Strukturdaten'!$C$8*D69-IF(G69&gt;'Erkrankungs- und Strukturdaten'!$C$14,VLOOKUP(Prognoseergebnis!G69-ROUNDDOWN('Erkrankungs- und Strukturdaten'!$C$14,0),$A:$D,$D$6,FALSE)*'Erkrankungs- und Strukturdaten'!$C$8,0)
+IF(G69&gt;'Erkrankungs- und Strukturdaten'!$C$15,VLOOKUP(Prognoseergebnis!G69-ROUNDDOWN('Erkrankungs- und Strukturdaten'!$C$15,0),A:D,$D$6,FALSE)*'Erkrankungs- und Strukturdaten'!$C$9,0)
-IF(G69&gt;'Erkrankungs- und Strukturdaten'!$C$15+'Erkrankungs- und Strukturdaten'!$C$16,VLOOKUP(Prognoseergebnis!G69-ROUNDDOWN('Erkrankungs- und Strukturdaten'!$C$15-'Erkrankungs- und Strukturdaten'!$C$16,0),A:D,$D$6,FALSE)*'Erkrankungs- und Strukturdaten'!$C$9,0),0)</f>
        <v>1912</v>
      </c>
      <c r="I69" s="6">
        <f>ROUND('Erkrankungs- und Strukturdaten'!$C$9*D69-IF(G69&gt;'Erkrankungs- und Strukturdaten'!$C$15,VLOOKUP(Prognoseergebnis!G69-'Erkrankungs- und Strukturdaten'!$C$15,$A:$D,$D$6,FALSE)*'Erkrankungs- und Strukturdaten'!$C$9,0),0)</f>
        <v>333</v>
      </c>
      <c r="J69" s="6">
        <f>I69*'Erkrankungs- und Strukturdaten'!$C$10/'Erkrankungs- und Strukturdaten'!$C$9</f>
        <v>163.16999999999999</v>
      </c>
      <c r="K69" s="6">
        <f>I69*'Erkrankungs- und Strukturdaten'!$C$21</f>
        <v>6660</v>
      </c>
      <c r="L69" s="11"/>
      <c r="M69" s="82">
        <f>SUM($K$66:K69)</f>
        <v>26440</v>
      </c>
      <c r="N69" s="9"/>
      <c r="O69" s="6">
        <f>IF(AND(((H69/'Erkrankungs- und Strukturdaten'!$C$25)*'Erkrankungs- und Strukturdaten'!$E$27)+(H69/'Erkrankungs- und Strukturdaten'!$C$26)&lt;1,((H69/'Erkrankungs- und Strukturdaten'!$C$25)*'Erkrankungs- und Strukturdaten'!$E$27)+(H69/'Erkrankungs- und Strukturdaten'!$C$26)&gt;0),1,((H69/'Erkrankungs- und Strukturdaten'!$C$25)*'Erkrankungs- und Strukturdaten'!$E$27)+(H69/'Erkrankungs- und Strukturdaten'!$C$26))</f>
        <v>828.5333333333333</v>
      </c>
      <c r="P69" s="6">
        <f>ROUNDUP(((I69/'Erkrankungs- und Strukturdaten'!$C$28)*'Erkrankungs- und Strukturdaten'!$E$30)+(I69/'Erkrankungs- und Strukturdaten'!$C$29),0)</f>
        <v>362</v>
      </c>
      <c r="Q69" s="6">
        <f>ROUNDUP((H69/'Erkrankungs- und Strukturdaten'!$C$34*'Erkrankungs- und Strukturdaten'!$E$36)+(H69/'Erkrankungs- und Strukturdaten'!$C$35),0)</f>
        <v>133</v>
      </c>
      <c r="R69" s="6">
        <f>ROUNDUP((I69*'Erkrankungs- und Strukturdaten'!$C$40/'Erkrankungs- und Strukturdaten'!$C$38*'Erkrankungs- und Strukturdaten'!$E$39)+(I69*(1-'Erkrankungs- und Strukturdaten'!$C$40)/'Erkrankungs- und Strukturdaten'!$C$37*'Erkrankungs- und Strukturdaten'!$E$39),0)</f>
        <v>46</v>
      </c>
      <c r="S69" s="52"/>
      <c r="T69" s="51"/>
      <c r="U69" s="44">
        <f>((H69/'Erkrankungs- und Strukturdaten'!$C$25)*'Erkrankungs- und Strukturdaten'!$E$27*'Erkrankungs- und Strukturdaten'!$F$27)+(H69/'Erkrankungs- und Strukturdaten'!$C$26*'Erkrankungs- und Strukturdaten'!$G$27)</f>
        <v>6819.4666666666672</v>
      </c>
      <c r="V69" s="44">
        <f>(I69/'Erkrankungs- und Strukturdaten'!$C$28*'Erkrankungs- und Strukturdaten'!$E$30*'Erkrankungs- und Strukturdaten'!$F$30)+(I69/'Erkrankungs- und Strukturdaten'!$C$29*'Erkrankungs- und Strukturdaten'!$G$30)</f>
        <v>2955.1371428571424</v>
      </c>
      <c r="AB69" s="2">
        <f t="shared" si="3"/>
        <v>44304</v>
      </c>
    </row>
    <row r="70" spans="1:28" ht="15" x14ac:dyDescent="0.2">
      <c r="A70" s="42">
        <v>61</v>
      </c>
      <c r="B70" s="370"/>
      <c r="C70" s="28">
        <f t="shared" si="4"/>
        <v>44305</v>
      </c>
      <c r="D70" s="5">
        <f>SUMIF('Fallzahlen (Berechnung)'!D:D,"&lt;="&amp;Prognoseergebnis!C70,'Fallzahlen (Berechnung)'!E:E)-'Fallzahlen (Berechnung)'!$E$1</f>
        <v>638236.27349041251</v>
      </c>
      <c r="E70" s="115">
        <f>VLOOKUP(C70,'Fallzahlen (Berechnung)'!$D:$E,'Fallzahlen (Berechnung)'!$E$1,FALSE)</f>
        <v>2782.0772624529359</v>
      </c>
      <c r="F70" s="26"/>
      <c r="G70" s="18">
        <v>61</v>
      </c>
      <c r="H70" s="5">
        <f>ROUND('Erkrankungs- und Strukturdaten'!$C$8*D70-IF(G70&gt;'Erkrankungs- und Strukturdaten'!$C$14,VLOOKUP(Prognoseergebnis!G70-ROUNDDOWN('Erkrankungs- und Strukturdaten'!$C$14,0),$A:$D,$D$6,FALSE)*'Erkrankungs- und Strukturdaten'!$C$8,0)
+IF(G70&gt;'Erkrankungs- und Strukturdaten'!$C$15,VLOOKUP(Prognoseergebnis!G70-ROUNDDOWN('Erkrankungs- und Strukturdaten'!$C$15,0),A:D,$D$6,FALSE)*'Erkrankungs- und Strukturdaten'!$C$9,0)
-IF(G70&gt;'Erkrankungs- und Strukturdaten'!$C$15+'Erkrankungs- und Strukturdaten'!$C$16,VLOOKUP(Prognoseergebnis!G70-ROUNDDOWN('Erkrankungs- und Strukturdaten'!$C$15-'Erkrankungs- und Strukturdaten'!$C$16,0),A:D,$D$6,FALSE)*'Erkrankungs- und Strukturdaten'!$C$9,0),0)</f>
        <v>1912</v>
      </c>
      <c r="I70" s="5">
        <f>ROUND('Erkrankungs- und Strukturdaten'!$C$9*D70-IF(G70&gt;'Erkrankungs- und Strukturdaten'!$C$15,VLOOKUP(Prognoseergebnis!G70-'Erkrankungs- und Strukturdaten'!$C$15,$A:$D,$D$6,FALSE)*'Erkrankungs- und Strukturdaten'!$C$9,0),0)</f>
        <v>353</v>
      </c>
      <c r="J70" s="5">
        <f>I70*'Erkrankungs- und Strukturdaten'!$C$10/'Erkrankungs- und Strukturdaten'!$C$9</f>
        <v>172.97</v>
      </c>
      <c r="K70" s="5">
        <f>I70*'Erkrankungs- und Strukturdaten'!$C$21</f>
        <v>7060</v>
      </c>
      <c r="L70" s="11"/>
      <c r="M70" s="82">
        <f>SUM($K$66:K70)</f>
        <v>33500</v>
      </c>
      <c r="N70" s="9"/>
      <c r="O70" s="5">
        <f>IF(AND(((H70/'Erkrankungs- und Strukturdaten'!$C$25)*'Erkrankungs- und Strukturdaten'!$E$27)+(H70/'Erkrankungs- und Strukturdaten'!$C$26)&lt;1,((H70/'Erkrankungs- und Strukturdaten'!$C$25)*'Erkrankungs- und Strukturdaten'!$E$27)+(H70/'Erkrankungs- und Strukturdaten'!$C$26)&gt;0),1,((H70/'Erkrankungs- und Strukturdaten'!$C$25)*'Erkrankungs- und Strukturdaten'!$E$27)+(H70/'Erkrankungs- und Strukturdaten'!$C$26))</f>
        <v>828.5333333333333</v>
      </c>
      <c r="P70" s="5">
        <f>ROUNDUP(((I70/'Erkrankungs- und Strukturdaten'!$C$28)*'Erkrankungs- und Strukturdaten'!$E$30)+(I70/'Erkrankungs- und Strukturdaten'!$C$29),0)</f>
        <v>384</v>
      </c>
      <c r="Q70" s="5">
        <f>ROUNDUP((H70/'Erkrankungs- und Strukturdaten'!$C$34*'Erkrankungs- und Strukturdaten'!$E$36)+(H70/'Erkrankungs- und Strukturdaten'!$C$35),0)</f>
        <v>133</v>
      </c>
      <c r="R70" s="5">
        <f>ROUNDUP((I70*'Erkrankungs- und Strukturdaten'!$C$40/'Erkrankungs- und Strukturdaten'!$C$38*'Erkrankungs- und Strukturdaten'!$E$39)+(I70*(1-'Erkrankungs- und Strukturdaten'!$C$40)/'Erkrankungs- und Strukturdaten'!$C$37*'Erkrankungs- und Strukturdaten'!$E$39),0)</f>
        <v>49</v>
      </c>
      <c r="S70" s="52"/>
      <c r="T70" s="51"/>
      <c r="U70" s="44">
        <f>((H70/'Erkrankungs- und Strukturdaten'!$C$25)*'Erkrankungs- und Strukturdaten'!$E$27*'Erkrankungs- und Strukturdaten'!$F$27)+(H70/'Erkrankungs- und Strukturdaten'!$C$26*'Erkrankungs- und Strukturdaten'!$G$27)</f>
        <v>6819.4666666666672</v>
      </c>
      <c r="V70" s="44">
        <f>(I70/'Erkrankungs- und Strukturdaten'!$C$28*'Erkrankungs- und Strukturdaten'!$E$30*'Erkrankungs- und Strukturdaten'!$F$30)+(I70/'Erkrankungs- und Strukturdaten'!$C$29*'Erkrankungs- und Strukturdaten'!$G$30)</f>
        <v>3132.6228571428574</v>
      </c>
      <c r="AB70" s="2">
        <f t="shared" si="3"/>
        <v>44305</v>
      </c>
    </row>
    <row r="71" spans="1:28" ht="15" x14ac:dyDescent="0.2">
      <c r="A71" s="42">
        <v>62</v>
      </c>
      <c r="B71" s="370"/>
      <c r="C71" s="27">
        <f t="shared" si="4"/>
        <v>44306</v>
      </c>
      <c r="D71" s="6">
        <f>SUMIF('Fallzahlen (Berechnung)'!D:D,"&lt;="&amp;Prognoseergebnis!C71,'Fallzahlen (Berechnung)'!E:E)-'Fallzahlen (Berechnung)'!$E$1</f>
        <v>640793.66108976188</v>
      </c>
      <c r="E71" s="114">
        <f>VLOOKUP(C71,'Fallzahlen (Berechnung)'!$D:$E,'Fallzahlen (Berechnung)'!$E$1,FALSE)</f>
        <v>2557.3875993494148</v>
      </c>
      <c r="F71" s="26"/>
      <c r="G71" s="18">
        <v>62</v>
      </c>
      <c r="H71" s="6">
        <f>ROUND('Erkrankungs- und Strukturdaten'!$C$8*D71-IF(G71&gt;'Erkrankungs- und Strukturdaten'!$C$14,VLOOKUP(Prognoseergebnis!G71-ROUNDDOWN('Erkrankungs- und Strukturdaten'!$C$14,0),$A:$D,$D$6,FALSE)*'Erkrankungs- und Strukturdaten'!$C$8,0)
+IF(G71&gt;'Erkrankungs- und Strukturdaten'!$C$15,VLOOKUP(Prognoseergebnis!G71-ROUNDDOWN('Erkrankungs- und Strukturdaten'!$C$15,0),A:D,$D$6,FALSE)*'Erkrankungs- und Strukturdaten'!$C$9,0)
-IF(G71&gt;'Erkrankungs- und Strukturdaten'!$C$15+'Erkrankungs- und Strukturdaten'!$C$16,VLOOKUP(Prognoseergebnis!G71-ROUNDDOWN('Erkrankungs- und Strukturdaten'!$C$15-'Erkrankungs- und Strukturdaten'!$C$16,0),A:D,$D$6,FALSE)*'Erkrankungs- und Strukturdaten'!$C$9,0),0)</f>
        <v>1946</v>
      </c>
      <c r="I71" s="6">
        <f>ROUND('Erkrankungs- und Strukturdaten'!$C$9*D71-IF(G71&gt;'Erkrankungs- und Strukturdaten'!$C$15,VLOOKUP(Prognoseergebnis!G71-'Erkrankungs- und Strukturdaten'!$C$15,$A:$D,$D$6,FALSE)*'Erkrankungs- und Strukturdaten'!$C$9,0),0)</f>
        <v>367</v>
      </c>
      <c r="J71" s="6">
        <f>I71*'Erkrankungs- und Strukturdaten'!$C$10/'Erkrankungs- und Strukturdaten'!$C$9</f>
        <v>179.83</v>
      </c>
      <c r="K71" s="6">
        <f>I71*'Erkrankungs- und Strukturdaten'!$C$21</f>
        <v>7340</v>
      </c>
      <c r="L71" s="11"/>
      <c r="M71" s="82">
        <f>SUM($K$66:K71)</f>
        <v>40840</v>
      </c>
      <c r="N71" s="9"/>
      <c r="O71" s="6">
        <f>IF(AND(((H71/'Erkrankungs- und Strukturdaten'!$C$25)*'Erkrankungs- und Strukturdaten'!$E$27)+(H71/'Erkrankungs- und Strukturdaten'!$C$26)&lt;1,((H71/'Erkrankungs- und Strukturdaten'!$C$25)*'Erkrankungs- und Strukturdaten'!$E$27)+(H71/'Erkrankungs- und Strukturdaten'!$C$26)&gt;0),1,((H71/'Erkrankungs- und Strukturdaten'!$C$25)*'Erkrankungs- und Strukturdaten'!$E$27)+(H71/'Erkrankungs- und Strukturdaten'!$C$26))</f>
        <v>843.26666666666665</v>
      </c>
      <c r="P71" s="6">
        <f>ROUNDUP(((I71/'Erkrankungs- und Strukturdaten'!$C$28)*'Erkrankungs- und Strukturdaten'!$E$30)+(I71/'Erkrankungs- und Strukturdaten'!$C$29),0)</f>
        <v>399</v>
      </c>
      <c r="Q71" s="6">
        <f>ROUNDUP((H71/'Erkrankungs- und Strukturdaten'!$C$34*'Erkrankungs- und Strukturdaten'!$E$36)+(H71/'Erkrankungs- und Strukturdaten'!$C$35),0)</f>
        <v>136</v>
      </c>
      <c r="R71" s="6">
        <f>ROUNDUP((I71*'Erkrankungs- und Strukturdaten'!$C$40/'Erkrankungs- und Strukturdaten'!$C$38*'Erkrankungs- und Strukturdaten'!$E$39)+(I71*(1-'Erkrankungs- und Strukturdaten'!$C$40)/'Erkrankungs- und Strukturdaten'!$C$37*'Erkrankungs- und Strukturdaten'!$E$39),0)</f>
        <v>51</v>
      </c>
      <c r="S71" s="52"/>
      <c r="T71" s="51"/>
      <c r="U71" s="44">
        <f>((H71/'Erkrankungs- und Strukturdaten'!$C$25)*'Erkrankungs- und Strukturdaten'!$E$27*'Erkrankungs- und Strukturdaten'!$F$27)+(H71/'Erkrankungs- und Strukturdaten'!$C$26*'Erkrankungs- und Strukturdaten'!$G$27)</f>
        <v>6940.7333333333336</v>
      </c>
      <c r="V71" s="44">
        <f>(I71/'Erkrankungs- und Strukturdaten'!$C$28*'Erkrankungs- und Strukturdaten'!$E$30*'Erkrankungs- und Strukturdaten'!$F$30)+(I71/'Erkrankungs- und Strukturdaten'!$C$29*'Erkrankungs- und Strukturdaten'!$G$30)</f>
        <v>3256.8628571428576</v>
      </c>
      <c r="AB71" s="2">
        <f t="shared" si="3"/>
        <v>44306</v>
      </c>
    </row>
    <row r="72" spans="1:28" ht="15" x14ac:dyDescent="0.2">
      <c r="A72" s="42">
        <v>63</v>
      </c>
      <c r="B72" s="385"/>
      <c r="C72" s="29">
        <f t="shared" si="4"/>
        <v>44307</v>
      </c>
      <c r="D72" s="30">
        <f>SUMIF('Fallzahlen (Berechnung)'!D:D,"&lt;="&amp;Prognoseergebnis!C72,'Fallzahlen (Berechnung)'!E:E)-'Fallzahlen (Berechnung)'!$E$1</f>
        <v>643230.79069662816</v>
      </c>
      <c r="E72" s="117">
        <f>VLOOKUP(C72,'Fallzahlen (Berechnung)'!$D:$E,'Fallzahlen (Berechnung)'!$E$1,FALSE)</f>
        <v>2437.129606866275</v>
      </c>
      <c r="F72" s="26"/>
      <c r="G72" s="18">
        <v>63</v>
      </c>
      <c r="H72" s="30">
        <f>ROUND('Erkrankungs- und Strukturdaten'!$C$8*D72-IF(G72&gt;'Erkrankungs- und Strukturdaten'!$C$14,VLOOKUP(Prognoseergebnis!G72-ROUNDDOWN('Erkrankungs- und Strukturdaten'!$C$14,0),$A:$D,$D$6,FALSE)*'Erkrankungs- und Strukturdaten'!$C$8,0)
+IF(G72&gt;'Erkrankungs- und Strukturdaten'!$C$15,VLOOKUP(Prognoseergebnis!G72-ROUNDDOWN('Erkrankungs- und Strukturdaten'!$C$15,0),A:D,$D$6,FALSE)*'Erkrankungs- und Strukturdaten'!$C$9,0)
-IF(G72&gt;'Erkrankungs- und Strukturdaten'!$C$15+'Erkrankungs- und Strukturdaten'!$C$16,VLOOKUP(Prognoseergebnis!G72-ROUNDDOWN('Erkrankungs- und Strukturdaten'!$C$15-'Erkrankungs- und Strukturdaten'!$C$16,0),A:D,$D$6,FALSE)*'Erkrankungs- und Strukturdaten'!$C$9,0),0)</f>
        <v>2082</v>
      </c>
      <c r="I72" s="30">
        <f>ROUND('Erkrankungs- und Strukturdaten'!$C$9*D72-IF(G72&gt;'Erkrankungs- und Strukturdaten'!$C$15,VLOOKUP(Prognoseergebnis!G72-'Erkrankungs- und Strukturdaten'!$C$15,$A:$D,$D$6,FALSE)*'Erkrankungs- und Strukturdaten'!$C$9,0),0)</f>
        <v>365</v>
      </c>
      <c r="J72" s="30">
        <f>I72*'Erkrankungs- und Strukturdaten'!$C$10/'Erkrankungs- und Strukturdaten'!$C$9</f>
        <v>178.85000000000002</v>
      </c>
      <c r="K72" s="30">
        <f>I72*'Erkrankungs- und Strukturdaten'!$C$21</f>
        <v>7300</v>
      </c>
      <c r="L72" s="11"/>
      <c r="M72" s="82">
        <f>SUM($K$66:K72)</f>
        <v>48140</v>
      </c>
      <c r="N72" s="9"/>
      <c r="O72" s="30">
        <f>IF(AND(((H72/'Erkrankungs- und Strukturdaten'!$C$25)*'Erkrankungs- und Strukturdaten'!$E$27)+(H72/'Erkrankungs- und Strukturdaten'!$C$26)&lt;1,((H72/'Erkrankungs- und Strukturdaten'!$C$25)*'Erkrankungs- und Strukturdaten'!$E$27)+(H72/'Erkrankungs- und Strukturdaten'!$C$26)&gt;0),1,((H72/'Erkrankungs- und Strukturdaten'!$C$25)*'Erkrankungs- und Strukturdaten'!$E$27)+(H72/'Erkrankungs- und Strukturdaten'!$C$26))</f>
        <v>902.2</v>
      </c>
      <c r="P72" s="30">
        <f>ROUNDUP(((I72/'Erkrankungs- und Strukturdaten'!$C$28)*'Erkrankungs- und Strukturdaten'!$E$30)+(I72/'Erkrankungs- und Strukturdaten'!$C$29),0)</f>
        <v>397</v>
      </c>
      <c r="Q72" s="30">
        <f>ROUNDUP((H72/'Erkrankungs- und Strukturdaten'!$C$34*'Erkrankungs- und Strukturdaten'!$E$36)+(H72/'Erkrankungs- und Strukturdaten'!$C$35),0)</f>
        <v>145</v>
      </c>
      <c r="R72" s="30">
        <f>ROUNDUP((I72*'Erkrankungs- und Strukturdaten'!$C$40/'Erkrankungs- und Strukturdaten'!$C$38*'Erkrankungs- und Strukturdaten'!$E$39)+(I72*(1-'Erkrankungs- und Strukturdaten'!$C$40)/'Erkrankungs- und Strukturdaten'!$C$37*'Erkrankungs- und Strukturdaten'!$E$39),0)</f>
        <v>50</v>
      </c>
      <c r="S72" s="52"/>
      <c r="T72" s="51"/>
      <c r="U72" s="44">
        <f>((H72/'Erkrankungs- und Strukturdaten'!$C$25)*'Erkrankungs- und Strukturdaten'!$E$27*'Erkrankungs- und Strukturdaten'!$F$27)+(H72/'Erkrankungs- und Strukturdaten'!$C$26*'Erkrankungs- und Strukturdaten'!$G$27)</f>
        <v>7425.8</v>
      </c>
      <c r="V72" s="44">
        <f>(I72/'Erkrankungs- und Strukturdaten'!$C$28*'Erkrankungs- und Strukturdaten'!$E$30*'Erkrankungs- und Strukturdaten'!$F$30)+(I72/'Erkrankungs- und Strukturdaten'!$C$29*'Erkrankungs- und Strukturdaten'!$G$30)</f>
        <v>3239.1142857142859</v>
      </c>
      <c r="AB72" s="2">
        <f t="shared" si="3"/>
        <v>44307</v>
      </c>
    </row>
    <row r="73" spans="1:28" ht="14.85" customHeight="1" x14ac:dyDescent="0.2">
      <c r="A73" s="42">
        <v>64</v>
      </c>
      <c r="B73" s="371" t="s">
        <v>31</v>
      </c>
      <c r="C73" s="76">
        <f t="shared" si="4"/>
        <v>44308</v>
      </c>
      <c r="D73" s="77">
        <f>SUMIF('Fallzahlen (Berechnung)'!D:D,"&lt;="&amp;Prognoseergebnis!C73,'Fallzahlen (Berechnung)'!E:E)-'Fallzahlen (Berechnung)'!$E$1</f>
        <v>646121.10626021889</v>
      </c>
      <c r="E73" s="118">
        <f>VLOOKUP(C73,'Fallzahlen (Berechnung)'!$D:$E,'Fallzahlen (Berechnung)'!$E$1,FALSE)</f>
        <v>2890.3155635907483</v>
      </c>
      <c r="F73" s="26"/>
      <c r="G73" s="18">
        <v>64</v>
      </c>
      <c r="H73" s="77">
        <f>ROUND('Erkrankungs- und Strukturdaten'!$C$8*D73-IF(G73&gt;'Erkrankungs- und Strukturdaten'!$C$14,VLOOKUP(Prognoseergebnis!G73-ROUNDDOWN('Erkrankungs- und Strukturdaten'!$C$14,0),$A:$D,$D$6,FALSE)*'Erkrankungs- und Strukturdaten'!$C$8,0)
+IF(G73&gt;'Erkrankungs- und Strukturdaten'!$C$15,VLOOKUP(Prognoseergebnis!G73-ROUNDDOWN('Erkrankungs- und Strukturdaten'!$C$15,0),A:D,$D$6,FALSE)*'Erkrankungs- und Strukturdaten'!$C$9,0)
-IF(G73&gt;'Erkrankungs- und Strukturdaten'!$C$15+'Erkrankungs- und Strukturdaten'!$C$16,VLOOKUP(Prognoseergebnis!G73-ROUNDDOWN('Erkrankungs- und Strukturdaten'!$C$15-'Erkrankungs- und Strukturdaten'!$C$16,0),A:D,$D$6,FALSE)*'Erkrankungs- und Strukturdaten'!$C$9,0),0)</f>
        <v>2103</v>
      </c>
      <c r="I73" s="77">
        <f>ROUND('Erkrankungs- und Strukturdaten'!$C$9*D73-IF(G73&gt;'Erkrankungs- und Strukturdaten'!$C$15,VLOOKUP(Prognoseergebnis!G73-'Erkrankungs- und Strukturdaten'!$C$15,$A:$D,$D$6,FALSE)*'Erkrankungs- und Strukturdaten'!$C$9,0),0)</f>
        <v>370</v>
      </c>
      <c r="J73" s="77">
        <f>I73*'Erkrankungs- und Strukturdaten'!$C$10/'Erkrankungs- und Strukturdaten'!$C$9</f>
        <v>181.3</v>
      </c>
      <c r="K73" s="77">
        <f>I73*'Erkrankungs- und Strukturdaten'!$C$21</f>
        <v>7400</v>
      </c>
      <c r="L73" s="11"/>
      <c r="M73" s="82">
        <f>SUM($K$66:K73)</f>
        <v>55540</v>
      </c>
      <c r="N73" s="9"/>
      <c r="O73" s="77">
        <f>IF(AND(((H73/'Erkrankungs- und Strukturdaten'!$C$25)*'Erkrankungs- und Strukturdaten'!$E$27)+(H73/'Erkrankungs- und Strukturdaten'!$C$26)&lt;1,((H73/'Erkrankungs- und Strukturdaten'!$C$25)*'Erkrankungs- und Strukturdaten'!$E$27)+(H73/'Erkrankungs- und Strukturdaten'!$C$26)&gt;0),1,((H73/'Erkrankungs- und Strukturdaten'!$C$25)*'Erkrankungs- und Strukturdaten'!$E$27)+(H73/'Erkrankungs- und Strukturdaten'!$C$26))</f>
        <v>911.3</v>
      </c>
      <c r="P73" s="77">
        <f>ROUNDUP(((I73/'Erkrankungs- und Strukturdaten'!$C$28)*'Erkrankungs- und Strukturdaten'!$E$30)+(I73/'Erkrankungs- und Strukturdaten'!$C$29),0)</f>
        <v>402</v>
      </c>
      <c r="Q73" s="77">
        <f>ROUNDUP((H73/'Erkrankungs- und Strukturdaten'!$C$34*'Erkrankungs- und Strukturdaten'!$E$36)+(H73/'Erkrankungs- und Strukturdaten'!$C$35),0)</f>
        <v>147</v>
      </c>
      <c r="R73" s="77">
        <f>ROUNDUP((I73*'Erkrankungs- und Strukturdaten'!$C$40/'Erkrankungs- und Strukturdaten'!$C$38*'Erkrankungs- und Strukturdaten'!$E$39)+(I73*(1-'Erkrankungs- und Strukturdaten'!$C$40)/'Erkrankungs- und Strukturdaten'!$C$37*'Erkrankungs- und Strukturdaten'!$E$39),0)</f>
        <v>51</v>
      </c>
      <c r="S73" s="52"/>
      <c r="T73" s="51"/>
      <c r="U73" s="44">
        <f>((H73/'Erkrankungs- und Strukturdaten'!$C$25)*'Erkrankungs- und Strukturdaten'!$E$27*'Erkrankungs- und Strukturdaten'!$F$27)+(H73/'Erkrankungs- und Strukturdaten'!$C$26*'Erkrankungs- und Strukturdaten'!$G$27)</f>
        <v>7500.7</v>
      </c>
      <c r="V73" s="44">
        <f>(I73/'Erkrankungs- und Strukturdaten'!$C$28*'Erkrankungs- und Strukturdaten'!$E$30*'Erkrankungs- und Strukturdaten'!$F$30)+(I73/'Erkrankungs- und Strukturdaten'!$C$29*'Erkrankungs- und Strukturdaten'!$G$30)</f>
        <v>3283.4857142857145</v>
      </c>
      <c r="AB73" s="2">
        <f t="shared" si="3"/>
        <v>44308</v>
      </c>
    </row>
    <row r="74" spans="1:28" ht="15" x14ac:dyDescent="0.2">
      <c r="A74" s="42">
        <v>65</v>
      </c>
      <c r="B74" s="371"/>
      <c r="C74" s="28">
        <f t="shared" si="4"/>
        <v>44309</v>
      </c>
      <c r="D74" s="5">
        <f>SUMIF('Fallzahlen (Berechnung)'!D:D,"&lt;="&amp;Prognoseergebnis!C74,'Fallzahlen (Berechnung)'!E:E)-'Fallzahlen (Berechnung)'!$E$1</f>
        <v>648585.59382655402</v>
      </c>
      <c r="E74" s="115">
        <f>VLOOKUP(C74,'Fallzahlen (Berechnung)'!$D:$E,'Fallzahlen (Berechnung)'!$E$1,FALSE)</f>
        <v>2464.4875663351672</v>
      </c>
      <c r="F74" s="26"/>
      <c r="G74" s="18">
        <v>65</v>
      </c>
      <c r="H74" s="5">
        <f>ROUND('Erkrankungs- und Strukturdaten'!$C$8*D74-IF(G74&gt;'Erkrankungs- und Strukturdaten'!$C$14,VLOOKUP(Prognoseergebnis!G74-ROUNDDOWN('Erkrankungs- und Strukturdaten'!$C$14,0),$A:$D,$D$6,FALSE)*'Erkrankungs- und Strukturdaten'!$C$8,0)
+IF(G74&gt;'Erkrankungs- und Strukturdaten'!$C$15,VLOOKUP(Prognoseergebnis!G74-ROUNDDOWN('Erkrankungs- und Strukturdaten'!$C$15,0),A:D,$D$6,FALSE)*'Erkrankungs- und Strukturdaten'!$C$9,0)
-IF(G74&gt;'Erkrankungs- und Strukturdaten'!$C$15+'Erkrankungs- und Strukturdaten'!$C$16,VLOOKUP(Prognoseergebnis!G74-ROUNDDOWN('Erkrankungs- und Strukturdaten'!$C$15-'Erkrankungs- und Strukturdaten'!$C$16,0),A:D,$D$6,FALSE)*'Erkrankungs- und Strukturdaten'!$C$9,0),0)</f>
        <v>2108</v>
      </c>
      <c r="I74" s="5">
        <f>ROUND('Erkrankungs- und Strukturdaten'!$C$9*D74-IF(G74&gt;'Erkrankungs- und Strukturdaten'!$C$15,VLOOKUP(Prognoseergebnis!G74-'Erkrankungs- und Strukturdaten'!$C$15,$A:$D,$D$6,FALSE)*'Erkrankungs- und Strukturdaten'!$C$9,0),0)</f>
        <v>370</v>
      </c>
      <c r="J74" s="5">
        <f>I74*'Erkrankungs- und Strukturdaten'!$C$10/'Erkrankungs- und Strukturdaten'!$C$9</f>
        <v>181.3</v>
      </c>
      <c r="K74" s="5">
        <f>I74*'Erkrankungs- und Strukturdaten'!$C$21</f>
        <v>7400</v>
      </c>
      <c r="L74" s="11"/>
      <c r="M74" s="82">
        <f>SUM($K$66:K74)</f>
        <v>62940</v>
      </c>
      <c r="N74" s="9"/>
      <c r="O74" s="5">
        <f>IF(AND(((H74/'Erkrankungs- und Strukturdaten'!$C$25)*'Erkrankungs- und Strukturdaten'!$E$27)+(H74/'Erkrankungs- und Strukturdaten'!$C$26)&lt;1,((H74/'Erkrankungs- und Strukturdaten'!$C$25)*'Erkrankungs- und Strukturdaten'!$E$27)+(H74/'Erkrankungs- und Strukturdaten'!$C$26)&gt;0),1,((H74/'Erkrankungs- und Strukturdaten'!$C$25)*'Erkrankungs- und Strukturdaten'!$E$27)+(H74/'Erkrankungs- und Strukturdaten'!$C$26))</f>
        <v>913.4666666666667</v>
      </c>
      <c r="P74" s="5">
        <f>ROUNDUP(((I74/'Erkrankungs- und Strukturdaten'!$C$28)*'Erkrankungs- und Strukturdaten'!$E$30)+(I74/'Erkrankungs- und Strukturdaten'!$C$29),0)</f>
        <v>402</v>
      </c>
      <c r="Q74" s="5">
        <f>ROUNDUP((H74/'Erkrankungs- und Strukturdaten'!$C$34*'Erkrankungs- und Strukturdaten'!$E$36)+(H74/'Erkrankungs- und Strukturdaten'!$C$35),0)</f>
        <v>147</v>
      </c>
      <c r="R74" s="5">
        <f>ROUNDUP((I74*'Erkrankungs- und Strukturdaten'!$C$40/'Erkrankungs- und Strukturdaten'!$C$38*'Erkrankungs- und Strukturdaten'!$E$39)+(I74*(1-'Erkrankungs- und Strukturdaten'!$C$40)/'Erkrankungs- und Strukturdaten'!$C$37*'Erkrankungs- und Strukturdaten'!$E$39),0)</f>
        <v>51</v>
      </c>
      <c r="S74" s="52"/>
      <c r="T74" s="51"/>
      <c r="U74" s="44">
        <f>((H74/'Erkrankungs- und Strukturdaten'!$C$25)*'Erkrankungs- und Strukturdaten'!$E$27*'Erkrankungs- und Strukturdaten'!$F$27)+(H74/'Erkrankungs- und Strukturdaten'!$C$26*'Erkrankungs- und Strukturdaten'!$G$27)</f>
        <v>7518.5333333333328</v>
      </c>
      <c r="V74" s="44">
        <f>(I74/'Erkrankungs- und Strukturdaten'!$C$28*'Erkrankungs- und Strukturdaten'!$E$30*'Erkrankungs- und Strukturdaten'!$F$30)+(I74/'Erkrankungs- und Strukturdaten'!$C$29*'Erkrankungs- und Strukturdaten'!$G$30)</f>
        <v>3283.4857142857145</v>
      </c>
      <c r="AB74" s="2">
        <f t="shared" si="3"/>
        <v>44309</v>
      </c>
    </row>
    <row r="75" spans="1:28" ht="15" x14ac:dyDescent="0.2">
      <c r="A75" s="42">
        <v>66</v>
      </c>
      <c r="B75" s="371"/>
      <c r="C75" s="27">
        <f t="shared" si="4"/>
        <v>44310</v>
      </c>
      <c r="D75" s="6">
        <f>SUMIF('Fallzahlen (Berechnung)'!D:D,"&lt;="&amp;Prognoseergebnis!C75,'Fallzahlen (Berechnung)'!E:E)-'Fallzahlen (Berechnung)'!$E$1</f>
        <v>650361.0116871536</v>
      </c>
      <c r="E75" s="114">
        <f>VLOOKUP(C75,'Fallzahlen (Berechnung)'!$D:$E,'Fallzahlen (Berechnung)'!$E$1,FALSE)</f>
        <v>1775.4178605995714</v>
      </c>
      <c r="F75" s="26"/>
      <c r="G75" s="18">
        <v>66</v>
      </c>
      <c r="H75" s="6">
        <f>ROUND('Erkrankungs- und Strukturdaten'!$C$8*D75-IF(G75&gt;'Erkrankungs- und Strukturdaten'!$C$14,VLOOKUP(Prognoseergebnis!G75-ROUNDDOWN('Erkrankungs- und Strukturdaten'!$C$14,0),$A:$D,$D$6,FALSE)*'Erkrankungs- und Strukturdaten'!$C$8,0)
+IF(G75&gt;'Erkrankungs- und Strukturdaten'!$C$15,VLOOKUP(Prognoseergebnis!G75-ROUNDDOWN('Erkrankungs- und Strukturdaten'!$C$15,0),A:D,$D$6,FALSE)*'Erkrankungs- und Strukturdaten'!$C$9,0)
-IF(G75&gt;'Erkrankungs- und Strukturdaten'!$C$15+'Erkrankungs- und Strukturdaten'!$C$16,VLOOKUP(Prognoseergebnis!G75-ROUNDDOWN('Erkrankungs- und Strukturdaten'!$C$15-'Erkrankungs- und Strukturdaten'!$C$16,0),A:D,$D$6,FALSE)*'Erkrankungs- und Strukturdaten'!$C$9,0),0)</f>
        <v>2118</v>
      </c>
      <c r="I75" s="6">
        <f>ROUND('Erkrankungs- und Strukturdaten'!$C$9*D75-IF(G75&gt;'Erkrankungs- und Strukturdaten'!$C$15,VLOOKUP(Prognoseergebnis!G75-'Erkrankungs- und Strukturdaten'!$C$15,$A:$D,$D$6,FALSE)*'Erkrankungs- und Strukturdaten'!$C$9,0),0)</f>
        <v>363</v>
      </c>
      <c r="J75" s="6">
        <f>I75*'Erkrankungs- und Strukturdaten'!$C$10/'Erkrankungs- und Strukturdaten'!$C$9</f>
        <v>177.87</v>
      </c>
      <c r="K75" s="6">
        <f>I75*'Erkrankungs- und Strukturdaten'!$C$21</f>
        <v>7260</v>
      </c>
      <c r="L75" s="11"/>
      <c r="M75" s="82">
        <f>SUM($K$66:K75)</f>
        <v>70200</v>
      </c>
      <c r="N75" s="9"/>
      <c r="O75" s="6">
        <f>IF(AND(((H75/'Erkrankungs- und Strukturdaten'!$C$25)*'Erkrankungs- und Strukturdaten'!$E$27)+(H75/'Erkrankungs- und Strukturdaten'!$C$26)&lt;1,((H75/'Erkrankungs- und Strukturdaten'!$C$25)*'Erkrankungs- und Strukturdaten'!$E$27)+(H75/'Erkrankungs- und Strukturdaten'!$C$26)&gt;0),1,((H75/'Erkrankungs- und Strukturdaten'!$C$25)*'Erkrankungs- und Strukturdaten'!$E$27)+(H75/'Erkrankungs- und Strukturdaten'!$C$26))</f>
        <v>917.8</v>
      </c>
      <c r="P75" s="6">
        <f>ROUNDUP(((I75/'Erkrankungs- und Strukturdaten'!$C$28)*'Erkrankungs- und Strukturdaten'!$E$30)+(I75/'Erkrankungs- und Strukturdaten'!$C$29),0)</f>
        <v>395</v>
      </c>
      <c r="Q75" s="6">
        <f>ROUNDUP((H75/'Erkrankungs- und Strukturdaten'!$C$34*'Erkrankungs- und Strukturdaten'!$E$36)+(H75/'Erkrankungs- und Strukturdaten'!$C$35),0)</f>
        <v>148</v>
      </c>
      <c r="R75" s="6">
        <f>ROUNDUP((I75*'Erkrankungs- und Strukturdaten'!$C$40/'Erkrankungs- und Strukturdaten'!$C$38*'Erkrankungs- und Strukturdaten'!$E$39)+(I75*(1-'Erkrankungs- und Strukturdaten'!$C$40)/'Erkrankungs- und Strukturdaten'!$C$37*'Erkrankungs- und Strukturdaten'!$E$39),0)</f>
        <v>50</v>
      </c>
      <c r="S75" s="52"/>
      <c r="T75" s="51"/>
      <c r="U75" s="44">
        <f>((H75/'Erkrankungs- und Strukturdaten'!$C$25)*'Erkrankungs- und Strukturdaten'!$E$27*'Erkrankungs- und Strukturdaten'!$F$27)+(H75/'Erkrankungs- und Strukturdaten'!$C$26*'Erkrankungs- und Strukturdaten'!$G$27)</f>
        <v>7554.2</v>
      </c>
      <c r="V75" s="44">
        <f>(I75/'Erkrankungs- und Strukturdaten'!$C$28*'Erkrankungs- und Strukturdaten'!$E$30*'Erkrankungs- und Strukturdaten'!$F$30)+(I75/'Erkrankungs- und Strukturdaten'!$C$29*'Erkrankungs- und Strukturdaten'!$G$30)</f>
        <v>3221.3657142857141</v>
      </c>
      <c r="AB75" s="2">
        <f t="shared" si="3"/>
        <v>44310</v>
      </c>
    </row>
    <row r="76" spans="1:28" ht="15" x14ac:dyDescent="0.2">
      <c r="A76" s="42">
        <v>67</v>
      </c>
      <c r="B76" s="371"/>
      <c r="C76" s="28">
        <f t="shared" si="4"/>
        <v>44311</v>
      </c>
      <c r="D76" s="5">
        <f>SUMIF('Fallzahlen (Berechnung)'!D:D,"&lt;="&amp;Prognoseergebnis!C76,'Fallzahlen (Berechnung)'!E:E)-'Fallzahlen (Berechnung)'!$E$1</f>
        <v>651704.89418707194</v>
      </c>
      <c r="E76" s="115">
        <f>VLOOKUP(C76,'Fallzahlen (Berechnung)'!$D:$E,'Fallzahlen (Berechnung)'!$E$1,FALSE)</f>
        <v>1343.8824999183698</v>
      </c>
      <c r="F76" s="26"/>
      <c r="G76" s="18">
        <v>67</v>
      </c>
      <c r="H76" s="5">
        <f>ROUND('Erkrankungs- und Strukturdaten'!$C$8*D76-IF(G76&gt;'Erkrankungs- und Strukturdaten'!$C$14,VLOOKUP(Prognoseergebnis!G76-ROUNDDOWN('Erkrankungs- und Strukturdaten'!$C$14,0),$A:$D,$D$6,FALSE)*'Erkrankungs- und Strukturdaten'!$C$8,0)
+IF(G76&gt;'Erkrankungs- und Strukturdaten'!$C$15,VLOOKUP(Prognoseergebnis!G76-ROUNDDOWN('Erkrankungs- und Strukturdaten'!$C$15,0),A:D,$D$6,FALSE)*'Erkrankungs- und Strukturdaten'!$C$9,0)
-IF(G76&gt;'Erkrankungs- und Strukturdaten'!$C$15+'Erkrankungs- und Strukturdaten'!$C$16,VLOOKUP(Prognoseergebnis!G76-ROUNDDOWN('Erkrankungs- und Strukturdaten'!$C$15-'Erkrankungs- und Strukturdaten'!$C$16,0),A:D,$D$6,FALSE)*'Erkrankungs- und Strukturdaten'!$C$9,0),0)</f>
        <v>2130</v>
      </c>
      <c r="I76" s="5">
        <f>ROUND('Erkrankungs- und Strukturdaten'!$C$9*D76-IF(G76&gt;'Erkrankungs- und Strukturdaten'!$C$15,VLOOKUP(Prognoseergebnis!G76-'Erkrankungs- und Strukturdaten'!$C$15,$A:$D,$D$6,FALSE)*'Erkrankungs- und Strukturdaten'!$C$9,0),0)</f>
        <v>359</v>
      </c>
      <c r="J76" s="5">
        <f>I76*'Erkrankungs- und Strukturdaten'!$C$10/'Erkrankungs- und Strukturdaten'!$C$9</f>
        <v>175.91</v>
      </c>
      <c r="K76" s="5">
        <f>I76*'Erkrankungs- und Strukturdaten'!$C$21</f>
        <v>7180</v>
      </c>
      <c r="L76" s="11"/>
      <c r="M76" s="82">
        <f>SUM($K$66:K76)</f>
        <v>77380</v>
      </c>
      <c r="N76" s="9"/>
      <c r="O76" s="5">
        <f>IF(AND(((H76/'Erkrankungs- und Strukturdaten'!$C$25)*'Erkrankungs- und Strukturdaten'!$E$27)+(H76/'Erkrankungs- und Strukturdaten'!$C$26)&lt;1,((H76/'Erkrankungs- und Strukturdaten'!$C$25)*'Erkrankungs- und Strukturdaten'!$E$27)+(H76/'Erkrankungs- und Strukturdaten'!$C$26)&gt;0),1,((H76/'Erkrankungs- und Strukturdaten'!$C$25)*'Erkrankungs- und Strukturdaten'!$E$27)+(H76/'Erkrankungs- und Strukturdaten'!$C$26))</f>
        <v>923</v>
      </c>
      <c r="P76" s="5">
        <f>ROUNDUP(((I76/'Erkrankungs- und Strukturdaten'!$C$28)*'Erkrankungs- und Strukturdaten'!$E$30)+(I76/'Erkrankungs- und Strukturdaten'!$C$29),0)</f>
        <v>390</v>
      </c>
      <c r="Q76" s="5">
        <f>ROUNDUP((H76/'Erkrankungs- und Strukturdaten'!$C$34*'Erkrankungs- und Strukturdaten'!$E$36)+(H76/'Erkrankungs- und Strukturdaten'!$C$35),0)</f>
        <v>148</v>
      </c>
      <c r="R76" s="5">
        <f>ROUNDUP((I76*'Erkrankungs- und Strukturdaten'!$C$40/'Erkrankungs- und Strukturdaten'!$C$38*'Erkrankungs- und Strukturdaten'!$E$39)+(I76*(1-'Erkrankungs- und Strukturdaten'!$C$40)/'Erkrankungs- und Strukturdaten'!$C$37*'Erkrankungs- und Strukturdaten'!$E$39),0)</f>
        <v>50</v>
      </c>
      <c r="S76" s="52"/>
      <c r="T76" s="51"/>
      <c r="U76" s="44">
        <f>((H76/'Erkrankungs- und Strukturdaten'!$C$25)*'Erkrankungs- und Strukturdaten'!$E$27*'Erkrankungs- und Strukturdaten'!$F$27)+(H76/'Erkrankungs- und Strukturdaten'!$C$26*'Erkrankungs- und Strukturdaten'!$G$27)</f>
        <v>7597</v>
      </c>
      <c r="V76" s="44">
        <f>(I76/'Erkrankungs- und Strukturdaten'!$C$28*'Erkrankungs- und Strukturdaten'!$E$30*'Erkrankungs- und Strukturdaten'!$F$30)+(I76/'Erkrankungs- und Strukturdaten'!$C$29*'Erkrankungs- und Strukturdaten'!$G$30)</f>
        <v>3185.8685714285716</v>
      </c>
      <c r="AB76" s="2">
        <f t="shared" si="3"/>
        <v>44311</v>
      </c>
    </row>
    <row r="77" spans="1:28" ht="15" x14ac:dyDescent="0.2">
      <c r="A77" s="42">
        <v>68</v>
      </c>
      <c r="B77" s="371"/>
      <c r="C77" s="27">
        <f t="shared" si="4"/>
        <v>44312</v>
      </c>
      <c r="D77" s="6">
        <f>SUMIF('Fallzahlen (Berechnung)'!D:D,"&lt;="&amp;Prognoseergebnis!C77,'Fallzahlen (Berechnung)'!E:E)-'Fallzahlen (Berechnung)'!$E$1</f>
        <v>654563.6534442486</v>
      </c>
      <c r="E77" s="114">
        <f>VLOOKUP(C77,'Fallzahlen (Berechnung)'!$D:$E,'Fallzahlen (Berechnung)'!$E$1,FALSE)</f>
        <v>2858.7592571766427</v>
      </c>
      <c r="F77" s="26"/>
      <c r="G77" s="18">
        <v>68</v>
      </c>
      <c r="H77" s="6">
        <f>ROUND('Erkrankungs- und Strukturdaten'!$C$8*D77-IF(G77&gt;'Erkrankungs- und Strukturdaten'!$C$14,VLOOKUP(Prognoseergebnis!G77-ROUNDDOWN('Erkrankungs- und Strukturdaten'!$C$14,0),$A:$D,$D$6,FALSE)*'Erkrankungs- und Strukturdaten'!$C$8,0)
+IF(G77&gt;'Erkrankungs- und Strukturdaten'!$C$15,VLOOKUP(Prognoseergebnis!G77-ROUNDDOWN('Erkrankungs- und Strukturdaten'!$C$15,0),A:D,$D$6,FALSE)*'Erkrankungs- und Strukturdaten'!$C$9,0)
-IF(G77&gt;'Erkrankungs- und Strukturdaten'!$C$15+'Erkrankungs- und Strukturdaten'!$C$16,VLOOKUP(Prognoseergebnis!G77-ROUNDDOWN('Erkrankungs- und Strukturdaten'!$C$15-'Erkrankungs- und Strukturdaten'!$C$16,0),A:D,$D$6,FALSE)*'Erkrankungs- und Strukturdaten'!$C$9,0),0)</f>
        <v>2135</v>
      </c>
      <c r="I77" s="6">
        <f>ROUND('Erkrankungs- und Strukturdaten'!$C$9*D77-IF(G77&gt;'Erkrankungs- und Strukturdaten'!$C$15,VLOOKUP(Prognoseergebnis!G77-'Erkrankungs- und Strukturdaten'!$C$15,$A:$D,$D$6,FALSE)*'Erkrankungs- und Strukturdaten'!$C$9,0),0)</f>
        <v>378</v>
      </c>
      <c r="J77" s="6">
        <f>I77*'Erkrankungs- und Strukturdaten'!$C$10/'Erkrankungs- und Strukturdaten'!$C$9</f>
        <v>185.22</v>
      </c>
      <c r="K77" s="6">
        <f>I77*'Erkrankungs- und Strukturdaten'!$C$21</f>
        <v>7560</v>
      </c>
      <c r="L77" s="11"/>
      <c r="M77" s="82">
        <f>SUM($K$66:K77)</f>
        <v>84940</v>
      </c>
      <c r="N77" s="9"/>
      <c r="O77" s="6">
        <f>IF(AND(((H77/'Erkrankungs- und Strukturdaten'!$C$25)*'Erkrankungs- und Strukturdaten'!$E$27)+(H77/'Erkrankungs- und Strukturdaten'!$C$26)&lt;1,((H77/'Erkrankungs- und Strukturdaten'!$C$25)*'Erkrankungs- und Strukturdaten'!$E$27)+(H77/'Erkrankungs- und Strukturdaten'!$C$26)&gt;0),1,((H77/'Erkrankungs- und Strukturdaten'!$C$25)*'Erkrankungs- und Strukturdaten'!$E$27)+(H77/'Erkrankungs- und Strukturdaten'!$C$26))</f>
        <v>925.16666666666663</v>
      </c>
      <c r="P77" s="6">
        <f>ROUNDUP(((I77/'Erkrankungs- und Strukturdaten'!$C$28)*'Erkrankungs- und Strukturdaten'!$E$30)+(I77/'Erkrankungs- und Strukturdaten'!$C$29),0)</f>
        <v>411</v>
      </c>
      <c r="Q77" s="6">
        <f>ROUNDUP((H77/'Erkrankungs- und Strukturdaten'!$C$34*'Erkrankungs- und Strukturdaten'!$E$36)+(H77/'Erkrankungs- und Strukturdaten'!$C$35),0)</f>
        <v>149</v>
      </c>
      <c r="R77" s="6">
        <f>ROUNDUP((I77*'Erkrankungs- und Strukturdaten'!$C$40/'Erkrankungs- und Strukturdaten'!$C$38*'Erkrankungs- und Strukturdaten'!$E$39)+(I77*(1-'Erkrankungs- und Strukturdaten'!$C$40)/'Erkrankungs- und Strukturdaten'!$C$37*'Erkrankungs- und Strukturdaten'!$E$39),0)</f>
        <v>52</v>
      </c>
      <c r="S77" s="52"/>
      <c r="T77" s="51"/>
      <c r="U77" s="44">
        <f>((H77/'Erkrankungs- und Strukturdaten'!$C$25)*'Erkrankungs- und Strukturdaten'!$E$27*'Erkrankungs- und Strukturdaten'!$F$27)+(H77/'Erkrankungs- und Strukturdaten'!$C$26*'Erkrankungs- und Strukturdaten'!$G$27)</f>
        <v>7614.833333333333</v>
      </c>
      <c r="V77" s="44">
        <f>(I77/'Erkrankungs- und Strukturdaten'!$C$28*'Erkrankungs- und Strukturdaten'!$E$30*'Erkrankungs- und Strukturdaten'!$F$30)+(I77/'Erkrankungs- und Strukturdaten'!$C$29*'Erkrankungs- und Strukturdaten'!$G$30)</f>
        <v>3354.48</v>
      </c>
      <c r="AB77" s="2">
        <f t="shared" si="3"/>
        <v>44312</v>
      </c>
    </row>
    <row r="78" spans="1:28" ht="15" x14ac:dyDescent="0.2">
      <c r="A78" s="42">
        <v>69</v>
      </c>
      <c r="B78" s="371"/>
      <c r="C78" s="28">
        <f t="shared" si="4"/>
        <v>44313</v>
      </c>
      <c r="D78" s="5">
        <f>SUMIF('Fallzahlen (Berechnung)'!D:D,"&lt;="&amp;Prognoseergebnis!C78,'Fallzahlen (Berechnung)'!E:E)-'Fallzahlen (Berechnung)'!$E$1</f>
        <v>657601.38436643837</v>
      </c>
      <c r="E78" s="115">
        <f>VLOOKUP(C78,'Fallzahlen (Berechnung)'!$D:$E,'Fallzahlen (Berechnung)'!$E$1,FALSE)</f>
        <v>3037.7309221897699</v>
      </c>
      <c r="F78" s="26"/>
      <c r="G78" s="18">
        <v>69</v>
      </c>
      <c r="H78" s="5">
        <f>ROUND('Erkrankungs- und Strukturdaten'!$C$8*D78-IF(G78&gt;'Erkrankungs- und Strukturdaten'!$C$14,VLOOKUP(Prognoseergebnis!G78-ROUNDDOWN('Erkrankungs- und Strukturdaten'!$C$14,0),$A:$D,$D$6,FALSE)*'Erkrankungs- und Strukturdaten'!$C$8,0)
+IF(G78&gt;'Erkrankungs- und Strukturdaten'!$C$15,VLOOKUP(Prognoseergebnis!G78-ROUNDDOWN('Erkrankungs- und Strukturdaten'!$C$15,0),A:D,$D$6,FALSE)*'Erkrankungs- und Strukturdaten'!$C$9,0)
-IF(G78&gt;'Erkrankungs- und Strukturdaten'!$C$15+'Erkrankungs- und Strukturdaten'!$C$16,VLOOKUP(Prognoseergebnis!G78-ROUNDDOWN('Erkrankungs- und Strukturdaten'!$C$15-'Erkrankungs- und Strukturdaten'!$C$16,0),A:D,$D$6,FALSE)*'Erkrankungs- und Strukturdaten'!$C$9,0),0)</f>
        <v>2220</v>
      </c>
      <c r="I78" s="5">
        <f>ROUND('Erkrankungs- und Strukturdaten'!$C$9*D78-IF(G78&gt;'Erkrankungs- und Strukturdaten'!$C$15,VLOOKUP(Prognoseergebnis!G78-'Erkrankungs- und Strukturdaten'!$C$15,$A:$D,$D$6,FALSE)*'Erkrankungs- und Strukturdaten'!$C$9,0),0)</f>
        <v>381</v>
      </c>
      <c r="J78" s="5">
        <f>I78*'Erkrankungs- und Strukturdaten'!$C$10/'Erkrankungs- und Strukturdaten'!$C$9</f>
        <v>186.69</v>
      </c>
      <c r="K78" s="5">
        <f>I78*'Erkrankungs- und Strukturdaten'!$C$21</f>
        <v>7620</v>
      </c>
      <c r="L78" s="11"/>
      <c r="M78" s="82">
        <f>SUM($K$66:K78)</f>
        <v>92560</v>
      </c>
      <c r="N78" s="9"/>
      <c r="O78" s="5">
        <f>IF(AND(((H78/'Erkrankungs- und Strukturdaten'!$C$25)*'Erkrankungs- und Strukturdaten'!$E$27)+(H78/'Erkrankungs- und Strukturdaten'!$C$26)&lt;1,((H78/'Erkrankungs- und Strukturdaten'!$C$25)*'Erkrankungs- und Strukturdaten'!$E$27)+(H78/'Erkrankungs- und Strukturdaten'!$C$26)&gt;0),1,((H78/'Erkrankungs- und Strukturdaten'!$C$25)*'Erkrankungs- und Strukturdaten'!$E$27)+(H78/'Erkrankungs- und Strukturdaten'!$C$26))</f>
        <v>962</v>
      </c>
      <c r="P78" s="5">
        <f>ROUNDUP(((I78/'Erkrankungs- und Strukturdaten'!$C$28)*'Erkrankungs- und Strukturdaten'!$E$30)+(I78/'Erkrankungs- und Strukturdaten'!$C$29),0)</f>
        <v>414</v>
      </c>
      <c r="Q78" s="5">
        <f>ROUNDUP((H78/'Erkrankungs- und Strukturdaten'!$C$34*'Erkrankungs- und Strukturdaten'!$E$36)+(H78/'Erkrankungs- und Strukturdaten'!$C$35),0)</f>
        <v>155</v>
      </c>
      <c r="R78" s="5">
        <f>ROUNDUP((I78*'Erkrankungs- und Strukturdaten'!$C$40/'Erkrankungs- und Strukturdaten'!$C$38*'Erkrankungs- und Strukturdaten'!$E$39)+(I78*(1-'Erkrankungs- und Strukturdaten'!$C$40)/'Erkrankungs- und Strukturdaten'!$C$37*'Erkrankungs- und Strukturdaten'!$E$39),0)</f>
        <v>53</v>
      </c>
      <c r="S78" s="52"/>
      <c r="T78" s="51"/>
      <c r="U78" s="44">
        <f>((H78/'Erkrankungs- und Strukturdaten'!$C$25)*'Erkrankungs- und Strukturdaten'!$E$27*'Erkrankungs- und Strukturdaten'!$F$27)+(H78/'Erkrankungs- und Strukturdaten'!$C$26*'Erkrankungs- und Strukturdaten'!$G$27)</f>
        <v>7918</v>
      </c>
      <c r="V78" s="44">
        <f>(I78/'Erkrankungs- und Strukturdaten'!$C$28*'Erkrankungs- und Strukturdaten'!$E$30*'Erkrankungs- und Strukturdaten'!$F$30)+(I78/'Erkrankungs- und Strukturdaten'!$C$29*'Erkrankungs- und Strukturdaten'!$G$30)</f>
        <v>3381.1028571428569</v>
      </c>
      <c r="AB78" s="2">
        <f t="shared" si="3"/>
        <v>44313</v>
      </c>
    </row>
    <row r="79" spans="1:28" ht="15" x14ac:dyDescent="0.2">
      <c r="A79" s="42">
        <v>70</v>
      </c>
      <c r="B79" s="371"/>
      <c r="C79" s="73">
        <f t="shared" si="4"/>
        <v>44314</v>
      </c>
      <c r="D79" s="74">
        <f>SUMIF('Fallzahlen (Berechnung)'!D:D,"&lt;="&amp;Prognoseergebnis!C79,'Fallzahlen (Berechnung)'!E:E)-'Fallzahlen (Berechnung)'!$E$1</f>
        <v>660505.03164273559</v>
      </c>
      <c r="E79" s="119">
        <f>VLOOKUP(C79,'Fallzahlen (Berechnung)'!$D:$E,'Fallzahlen (Berechnung)'!$E$1,FALSE)</f>
        <v>2903.6472762971821</v>
      </c>
      <c r="F79" s="26"/>
      <c r="G79" s="18">
        <v>70</v>
      </c>
      <c r="H79" s="74">
        <f>ROUND('Erkrankungs- und Strukturdaten'!$C$8*D79-IF(G79&gt;'Erkrankungs- und Strukturdaten'!$C$14,VLOOKUP(Prognoseergebnis!G79-ROUNDDOWN('Erkrankungs- und Strukturdaten'!$C$14,0),$A:$D,$D$6,FALSE)*'Erkrankungs- und Strukturdaten'!$C$8,0)
+IF(G79&gt;'Erkrankungs- und Strukturdaten'!$C$15,VLOOKUP(Prognoseergebnis!G79-ROUNDDOWN('Erkrankungs- und Strukturdaten'!$C$15,0),A:D,$D$6,FALSE)*'Erkrankungs- und Strukturdaten'!$C$9,0)
-IF(G79&gt;'Erkrankungs- und Strukturdaten'!$C$15+'Erkrankungs- und Strukturdaten'!$C$16,VLOOKUP(Prognoseergebnis!G79-ROUNDDOWN('Erkrankungs- und Strukturdaten'!$C$15-'Erkrankungs- und Strukturdaten'!$C$16,0),A:D,$D$6,FALSE)*'Erkrankungs- und Strukturdaten'!$C$9,0),0)</f>
        <v>2280</v>
      </c>
      <c r="I79" s="74">
        <f>ROUND('Erkrankungs- und Strukturdaten'!$C$9*D79-IF(G79&gt;'Erkrankungs- und Strukturdaten'!$C$15,VLOOKUP(Prognoseergebnis!G79-'Erkrankungs- und Strukturdaten'!$C$15,$A:$D,$D$6,FALSE)*'Erkrankungs- und Strukturdaten'!$C$9,0),0)</f>
        <v>388</v>
      </c>
      <c r="J79" s="74">
        <f>I79*'Erkrankungs- und Strukturdaten'!$C$10/'Erkrankungs- und Strukturdaten'!$C$9</f>
        <v>190.11999999999998</v>
      </c>
      <c r="K79" s="74">
        <f>I79*'Erkrankungs- und Strukturdaten'!$C$21</f>
        <v>7760</v>
      </c>
      <c r="L79" s="11"/>
      <c r="M79" s="82">
        <f>SUM($K$66:K79)</f>
        <v>100320</v>
      </c>
      <c r="N79" s="9"/>
      <c r="O79" s="74">
        <f>IF(AND(((H79/'Erkrankungs- und Strukturdaten'!$C$25)*'Erkrankungs- und Strukturdaten'!$E$27)+(H79/'Erkrankungs- und Strukturdaten'!$C$26)&lt;1,((H79/'Erkrankungs- und Strukturdaten'!$C$25)*'Erkrankungs- und Strukturdaten'!$E$27)+(H79/'Erkrankungs- und Strukturdaten'!$C$26)&gt;0),1,((H79/'Erkrankungs- und Strukturdaten'!$C$25)*'Erkrankungs- und Strukturdaten'!$E$27)+(H79/'Erkrankungs- und Strukturdaten'!$C$26))</f>
        <v>988</v>
      </c>
      <c r="P79" s="74">
        <f>ROUNDUP(((I79/'Erkrankungs- und Strukturdaten'!$C$28)*'Erkrankungs- und Strukturdaten'!$E$30)+(I79/'Erkrankungs- und Strukturdaten'!$C$29),0)</f>
        <v>422</v>
      </c>
      <c r="Q79" s="74">
        <f>ROUNDUP((H79/'Erkrankungs- und Strukturdaten'!$C$34*'Erkrankungs- und Strukturdaten'!$E$36)+(H79/'Erkrankungs- und Strukturdaten'!$C$35),0)</f>
        <v>159</v>
      </c>
      <c r="R79" s="74">
        <f>ROUNDUP((I79*'Erkrankungs- und Strukturdaten'!$C$40/'Erkrankungs- und Strukturdaten'!$C$38*'Erkrankungs- und Strukturdaten'!$E$39)+(I79*(1-'Erkrankungs- und Strukturdaten'!$C$40)/'Erkrankungs- und Strukturdaten'!$C$37*'Erkrankungs- und Strukturdaten'!$E$39),0)</f>
        <v>54</v>
      </c>
      <c r="S79" s="52"/>
      <c r="T79" s="51"/>
      <c r="U79" s="44">
        <f>((H79/'Erkrankungs- und Strukturdaten'!$C$25)*'Erkrankungs- und Strukturdaten'!$E$27*'Erkrankungs- und Strukturdaten'!$F$27)+(H79/'Erkrankungs- und Strukturdaten'!$C$26*'Erkrankungs- und Strukturdaten'!$G$27)</f>
        <v>8132</v>
      </c>
      <c r="V79" s="44">
        <f>(I79/'Erkrankungs- und Strukturdaten'!$C$28*'Erkrankungs- und Strukturdaten'!$E$30*'Erkrankungs- und Strukturdaten'!$F$30)+(I79/'Erkrankungs- und Strukturdaten'!$C$29*'Erkrankungs- und Strukturdaten'!$G$30)</f>
        <v>3443.2228571428568</v>
      </c>
      <c r="AB79" s="2">
        <f t="shared" si="3"/>
        <v>44314</v>
      </c>
    </row>
    <row r="80" spans="1:28" ht="14.85" customHeight="1" x14ac:dyDescent="0.2">
      <c r="A80" s="42">
        <v>71</v>
      </c>
      <c r="B80" s="370" t="s">
        <v>32</v>
      </c>
      <c r="C80" s="78">
        <f t="shared" si="4"/>
        <v>44315</v>
      </c>
      <c r="D80" s="4">
        <f>SUMIF('Fallzahlen (Berechnung)'!D:D,"&lt;="&amp;Prognoseergebnis!C80,'Fallzahlen (Berechnung)'!E:E)-'Fallzahlen (Berechnung)'!$E$1</f>
        <v>663394.02280734421</v>
      </c>
      <c r="E80" s="116">
        <f>VLOOKUP(C80,'Fallzahlen (Berechnung)'!$D:$E,'Fallzahlen (Berechnung)'!$E$1,FALSE)</f>
        <v>2888.9911646086703</v>
      </c>
      <c r="F80" s="26"/>
      <c r="G80" s="18">
        <v>71</v>
      </c>
      <c r="H80" s="4">
        <f>ROUND('Erkrankungs- und Strukturdaten'!$C$8*D80-IF(G80&gt;'Erkrankungs- und Strukturdaten'!$C$14,VLOOKUP(Prognoseergebnis!G80-ROUNDDOWN('Erkrankungs- und Strukturdaten'!$C$14,0),$A:$D,$D$6,FALSE)*'Erkrankungs- und Strukturdaten'!$C$8,0)
+IF(G80&gt;'Erkrankungs- und Strukturdaten'!$C$15,VLOOKUP(Prognoseergebnis!G80-ROUNDDOWN('Erkrankungs- und Strukturdaten'!$C$15,0),A:D,$D$6,FALSE)*'Erkrankungs- und Strukturdaten'!$C$9,0)
-IF(G80&gt;'Erkrankungs- und Strukturdaten'!$C$15+'Erkrankungs- und Strukturdaten'!$C$16,VLOOKUP(Prognoseergebnis!G80-ROUNDDOWN('Erkrankungs- und Strukturdaten'!$C$15-'Erkrankungs- und Strukturdaten'!$C$16,0),A:D,$D$6,FALSE)*'Erkrankungs- und Strukturdaten'!$C$9,0),0)</f>
        <v>2267</v>
      </c>
      <c r="I80" s="4">
        <f>ROUND('Erkrankungs- und Strukturdaten'!$C$9*D80-IF(G80&gt;'Erkrankungs- und Strukturdaten'!$C$15,VLOOKUP(Prognoseergebnis!G80-'Erkrankungs- und Strukturdaten'!$C$15,$A:$D,$D$6,FALSE)*'Erkrankungs- und Strukturdaten'!$C$9,0),0)</f>
        <v>404</v>
      </c>
      <c r="J80" s="4">
        <f>I80*'Erkrankungs- und Strukturdaten'!$C$10/'Erkrankungs- und Strukturdaten'!$C$9</f>
        <v>197.96</v>
      </c>
      <c r="K80" s="4">
        <f>I80*'Erkrankungs- und Strukturdaten'!$C$21</f>
        <v>8080</v>
      </c>
      <c r="L80" s="11"/>
      <c r="M80" s="82">
        <f>SUM($K$66:K80)</f>
        <v>108400</v>
      </c>
      <c r="N80" s="9"/>
      <c r="O80" s="4">
        <f>IF(AND(((H80/'Erkrankungs- und Strukturdaten'!$C$25)*'Erkrankungs- und Strukturdaten'!$E$27)+(H80/'Erkrankungs- und Strukturdaten'!$C$26)&lt;1,((H80/'Erkrankungs- und Strukturdaten'!$C$25)*'Erkrankungs- und Strukturdaten'!$E$27)+(H80/'Erkrankungs- und Strukturdaten'!$C$26)&gt;0),1,((H80/'Erkrankungs- und Strukturdaten'!$C$25)*'Erkrankungs- und Strukturdaten'!$E$27)+(H80/'Erkrankungs- und Strukturdaten'!$C$26))</f>
        <v>982.36666666666656</v>
      </c>
      <c r="P80" s="4">
        <f>ROUNDUP(((I80/'Erkrankungs- und Strukturdaten'!$C$28)*'Erkrankungs- und Strukturdaten'!$E$30)+(I80/'Erkrankungs- und Strukturdaten'!$C$29),0)</f>
        <v>439</v>
      </c>
      <c r="Q80" s="4">
        <f>ROUNDUP((H80/'Erkrankungs- und Strukturdaten'!$C$34*'Erkrankungs- und Strukturdaten'!$E$36)+(H80/'Erkrankungs- und Strukturdaten'!$C$35),0)</f>
        <v>158</v>
      </c>
      <c r="R80" s="4">
        <f>ROUNDUP((I80*'Erkrankungs- und Strukturdaten'!$C$40/'Erkrankungs- und Strukturdaten'!$C$38*'Erkrankungs- und Strukturdaten'!$E$39)+(I80*(1-'Erkrankungs- und Strukturdaten'!$C$40)/'Erkrankungs- und Strukturdaten'!$C$37*'Erkrankungs- und Strukturdaten'!$E$39),0)</f>
        <v>56</v>
      </c>
      <c r="S80" s="52"/>
      <c r="T80" s="51"/>
      <c r="U80" s="44">
        <f>((H80/'Erkrankungs- und Strukturdaten'!$C$25)*'Erkrankungs- und Strukturdaten'!$E$27*'Erkrankungs- und Strukturdaten'!$F$27)+(H80/'Erkrankungs- und Strukturdaten'!$C$26*'Erkrankungs- und Strukturdaten'!$G$27)</f>
        <v>8085.6333333333332</v>
      </c>
      <c r="V80" s="44">
        <f>(I80/'Erkrankungs- und Strukturdaten'!$C$28*'Erkrankungs- und Strukturdaten'!$E$30*'Erkrankungs- und Strukturdaten'!$F$30)+(I80/'Erkrankungs- und Strukturdaten'!$C$29*'Erkrankungs- und Strukturdaten'!$G$30)</f>
        <v>3585.2114285714288</v>
      </c>
      <c r="AB80" s="2">
        <f t="shared" si="3"/>
        <v>44315</v>
      </c>
    </row>
    <row r="81" spans="1:28" ht="15" x14ac:dyDescent="0.2">
      <c r="A81" s="42">
        <v>72</v>
      </c>
      <c r="B81" s="370"/>
      <c r="C81" s="27">
        <f t="shared" si="4"/>
        <v>44316</v>
      </c>
      <c r="D81" s="6">
        <f>SUMIF('Fallzahlen (Berechnung)'!D:D,"&lt;="&amp;Prognoseergebnis!C81,'Fallzahlen (Berechnung)'!E:E)-'Fallzahlen (Berechnung)'!$E$1</f>
        <v>665886.34396251757</v>
      </c>
      <c r="E81" s="114">
        <f>VLOOKUP(C81,'Fallzahlen (Berechnung)'!$D:$E,'Fallzahlen (Berechnung)'!$E$1,FALSE)</f>
        <v>2492.3211551734003</v>
      </c>
      <c r="F81" s="26"/>
      <c r="G81" s="18">
        <v>72</v>
      </c>
      <c r="H81" s="6">
        <f>ROUND('Erkrankungs- und Strukturdaten'!$C$8*D81-IF(G81&gt;'Erkrankungs- und Strukturdaten'!$C$14,VLOOKUP(Prognoseergebnis!G81-ROUNDDOWN('Erkrankungs- und Strukturdaten'!$C$14,0),$A:$D,$D$6,FALSE)*'Erkrankungs- und Strukturdaten'!$C$8,0)
+IF(G81&gt;'Erkrankungs- und Strukturdaten'!$C$15,VLOOKUP(Prognoseergebnis!G81-ROUNDDOWN('Erkrankungs- und Strukturdaten'!$C$15,0),A:D,$D$6,FALSE)*'Erkrankungs- und Strukturdaten'!$C$9,0)
-IF(G81&gt;'Erkrankungs- und Strukturdaten'!$C$15+'Erkrankungs- und Strukturdaten'!$C$16,VLOOKUP(Prognoseergebnis!G81-ROUNDDOWN('Erkrankungs- und Strukturdaten'!$C$15-'Erkrankungs- und Strukturdaten'!$C$16,0),A:D,$D$6,FALSE)*'Erkrankungs- und Strukturdaten'!$C$9,0),0)</f>
        <v>2275</v>
      </c>
      <c r="I81" s="6">
        <f>ROUND('Erkrankungs- und Strukturdaten'!$C$9*D81-IF(G81&gt;'Erkrankungs- und Strukturdaten'!$C$15,VLOOKUP(Prognoseergebnis!G81-'Erkrankungs- und Strukturdaten'!$C$15,$A:$D,$D$6,FALSE)*'Erkrankungs- und Strukturdaten'!$C$9,0),0)</f>
        <v>401</v>
      </c>
      <c r="J81" s="6">
        <f>I81*'Erkrankungs- und Strukturdaten'!$C$10/'Erkrankungs- und Strukturdaten'!$C$9</f>
        <v>196.49</v>
      </c>
      <c r="K81" s="6">
        <f>I81*'Erkrankungs- und Strukturdaten'!$C$21</f>
        <v>8020</v>
      </c>
      <c r="L81" s="11"/>
      <c r="M81" s="82">
        <f>SUM($K$66:K81)</f>
        <v>116420</v>
      </c>
      <c r="N81" s="9"/>
      <c r="O81" s="6">
        <f>IF(AND(((H81/'Erkrankungs- und Strukturdaten'!$C$25)*'Erkrankungs- und Strukturdaten'!$E$27)+(H81/'Erkrankungs- und Strukturdaten'!$C$26)&lt;1,((H81/'Erkrankungs- und Strukturdaten'!$C$25)*'Erkrankungs- und Strukturdaten'!$E$27)+(H81/'Erkrankungs- und Strukturdaten'!$C$26)&gt;0),1,((H81/'Erkrankungs- und Strukturdaten'!$C$25)*'Erkrankungs- und Strukturdaten'!$E$27)+(H81/'Erkrankungs- und Strukturdaten'!$C$26))</f>
        <v>985.83333333333337</v>
      </c>
      <c r="P81" s="6">
        <f>ROUNDUP(((I81/'Erkrankungs- und Strukturdaten'!$C$28)*'Erkrankungs- und Strukturdaten'!$E$30)+(I81/'Erkrankungs- und Strukturdaten'!$C$29),0)</f>
        <v>436</v>
      </c>
      <c r="Q81" s="6">
        <f>ROUNDUP((H81/'Erkrankungs- und Strukturdaten'!$C$34*'Erkrankungs- und Strukturdaten'!$E$36)+(H81/'Erkrankungs- und Strukturdaten'!$C$35),0)</f>
        <v>158</v>
      </c>
      <c r="R81" s="6">
        <f>ROUNDUP((I81*'Erkrankungs- und Strukturdaten'!$C$40/'Erkrankungs- und Strukturdaten'!$C$38*'Erkrankungs- und Strukturdaten'!$E$39)+(I81*(1-'Erkrankungs- und Strukturdaten'!$C$40)/'Erkrankungs- und Strukturdaten'!$C$37*'Erkrankungs- und Strukturdaten'!$E$39),0)</f>
        <v>55</v>
      </c>
      <c r="S81" s="52"/>
      <c r="T81" s="51"/>
      <c r="U81" s="44">
        <f>((H81/'Erkrankungs- und Strukturdaten'!$C$25)*'Erkrankungs- und Strukturdaten'!$E$27*'Erkrankungs- und Strukturdaten'!$F$27)+(H81/'Erkrankungs- und Strukturdaten'!$C$26*'Erkrankungs- und Strukturdaten'!$G$27)</f>
        <v>8114.166666666667</v>
      </c>
      <c r="V81" s="44">
        <f>(I81/'Erkrankungs- und Strukturdaten'!$C$28*'Erkrankungs- und Strukturdaten'!$E$30*'Erkrankungs- und Strukturdaten'!$F$30)+(I81/'Erkrankungs- und Strukturdaten'!$C$29*'Erkrankungs- und Strukturdaten'!$G$30)</f>
        <v>3558.5885714285714</v>
      </c>
      <c r="AB81" s="2">
        <f t="shared" si="3"/>
        <v>44316</v>
      </c>
    </row>
    <row r="82" spans="1:28" ht="14.85" customHeight="1" x14ac:dyDescent="0.2">
      <c r="A82" s="42">
        <v>73</v>
      </c>
      <c r="B82" s="370"/>
      <c r="C82" s="28">
        <f t="shared" si="4"/>
        <v>44317</v>
      </c>
      <c r="D82" s="5">
        <f>SUMIF('Fallzahlen (Berechnung)'!D:D,"&lt;="&amp;Prognoseergebnis!C82,'Fallzahlen (Berechnung)'!E:E)-'Fallzahlen (Berechnung)'!$E$1</f>
        <v>667789.29432840715</v>
      </c>
      <c r="E82" s="115">
        <f>VLOOKUP(C82,'Fallzahlen (Berechnung)'!$D:$E,'Fallzahlen (Berechnung)'!$E$1,FALSE)</f>
        <v>1902.9503658896203</v>
      </c>
      <c r="F82" s="26"/>
      <c r="G82" s="18">
        <v>73</v>
      </c>
      <c r="H82" s="5">
        <f>ROUND('Erkrankungs- und Strukturdaten'!$C$8*D82-IF(G82&gt;'Erkrankungs- und Strukturdaten'!$C$14,VLOOKUP(Prognoseergebnis!G82-ROUNDDOWN('Erkrankungs- und Strukturdaten'!$C$14,0),$A:$D,$D$6,FALSE)*'Erkrankungs- und Strukturdaten'!$C$8,0)
+IF(G82&gt;'Erkrankungs- und Strukturdaten'!$C$15,VLOOKUP(Prognoseergebnis!G82-ROUNDDOWN('Erkrankungs- und Strukturdaten'!$C$15,0),A:D,$D$6,FALSE)*'Erkrankungs- und Strukturdaten'!$C$9,0)
-IF(G82&gt;'Erkrankungs- und Strukturdaten'!$C$15+'Erkrankungs- und Strukturdaten'!$C$16,VLOOKUP(Prognoseergebnis!G82-ROUNDDOWN('Erkrankungs- und Strukturdaten'!$C$15-'Erkrankungs- und Strukturdaten'!$C$16,0),A:D,$D$6,FALSE)*'Erkrankungs- und Strukturdaten'!$C$9,0),0)</f>
        <v>2288</v>
      </c>
      <c r="I82" s="5">
        <f>ROUND('Erkrankungs- und Strukturdaten'!$C$9*D82-IF(G82&gt;'Erkrankungs- und Strukturdaten'!$C$15,VLOOKUP(Prognoseergebnis!G82-'Erkrankungs- und Strukturdaten'!$C$15,$A:$D,$D$6,FALSE)*'Erkrankungs- und Strukturdaten'!$C$9,0),0)</f>
        <v>394</v>
      </c>
      <c r="J82" s="5">
        <f>I82*'Erkrankungs- und Strukturdaten'!$C$10/'Erkrankungs- und Strukturdaten'!$C$9</f>
        <v>193.06</v>
      </c>
      <c r="K82" s="5">
        <f>I82*'Erkrankungs- und Strukturdaten'!$C$21</f>
        <v>7880</v>
      </c>
      <c r="L82" s="11"/>
      <c r="M82" s="82">
        <f>SUM($K$66:K82)</f>
        <v>124300</v>
      </c>
      <c r="N82" s="9"/>
      <c r="O82" s="5">
        <f>IF(AND(((H82/'Erkrankungs- und Strukturdaten'!$C$25)*'Erkrankungs- und Strukturdaten'!$E$27)+(H82/'Erkrankungs- und Strukturdaten'!$C$26)&lt;1,((H82/'Erkrankungs- und Strukturdaten'!$C$25)*'Erkrankungs- und Strukturdaten'!$E$27)+(H82/'Erkrankungs- und Strukturdaten'!$C$26)&gt;0),1,((H82/'Erkrankungs- und Strukturdaten'!$C$25)*'Erkrankungs- und Strukturdaten'!$E$27)+(H82/'Erkrankungs- und Strukturdaten'!$C$26))</f>
        <v>991.4666666666667</v>
      </c>
      <c r="P82" s="5">
        <f>ROUNDUP(((I82/'Erkrankungs- und Strukturdaten'!$C$28)*'Erkrankungs- und Strukturdaten'!$E$30)+(I82/'Erkrankungs- und Strukturdaten'!$C$29),0)</f>
        <v>428</v>
      </c>
      <c r="Q82" s="5">
        <f>ROUNDUP((H82/'Erkrankungs- und Strukturdaten'!$C$34*'Erkrankungs- und Strukturdaten'!$E$36)+(H82/'Erkrankungs- und Strukturdaten'!$C$35),0)</f>
        <v>159</v>
      </c>
      <c r="R82" s="5">
        <f>ROUNDUP((I82*'Erkrankungs- und Strukturdaten'!$C$40/'Erkrankungs- und Strukturdaten'!$C$38*'Erkrankungs- und Strukturdaten'!$E$39)+(I82*(1-'Erkrankungs- und Strukturdaten'!$C$40)/'Erkrankungs- und Strukturdaten'!$C$37*'Erkrankungs- und Strukturdaten'!$E$39),0)</f>
        <v>54</v>
      </c>
      <c r="S82" s="52"/>
      <c r="T82" s="51"/>
      <c r="U82" s="44">
        <f>((H82/'Erkrankungs- und Strukturdaten'!$C$25)*'Erkrankungs- und Strukturdaten'!$E$27*'Erkrankungs- und Strukturdaten'!$F$27)+(H82/'Erkrankungs- und Strukturdaten'!$C$26*'Erkrankungs- und Strukturdaten'!$G$27)</f>
        <v>8160.5333333333328</v>
      </c>
      <c r="V82" s="44">
        <f>(I82/'Erkrankungs- und Strukturdaten'!$C$28*'Erkrankungs- und Strukturdaten'!$E$30*'Erkrankungs- und Strukturdaten'!$F$30)+(I82/'Erkrankungs- und Strukturdaten'!$C$29*'Erkrankungs- und Strukturdaten'!$G$30)</f>
        <v>3496.4685714285715</v>
      </c>
      <c r="AB82" s="2">
        <f t="shared" si="3"/>
        <v>44317</v>
      </c>
    </row>
    <row r="83" spans="1:28" ht="15" x14ac:dyDescent="0.2">
      <c r="A83" s="42">
        <v>74</v>
      </c>
      <c r="B83" s="370"/>
      <c r="C83" s="27">
        <f t="shared" si="4"/>
        <v>44318</v>
      </c>
      <c r="D83" s="6">
        <f>SUMIF('Fallzahlen (Berechnung)'!D:D,"&lt;="&amp;Prognoseergebnis!C83,'Fallzahlen (Berechnung)'!E:E)-'Fallzahlen (Berechnung)'!$E$1</f>
        <v>669250.71591718344</v>
      </c>
      <c r="E83" s="114">
        <f>VLOOKUP(C83,'Fallzahlen (Berechnung)'!$D:$E,'Fallzahlen (Berechnung)'!$E$1,FALSE)</f>
        <v>1461.4215887762537</v>
      </c>
      <c r="F83" s="26"/>
      <c r="G83" s="18">
        <v>74</v>
      </c>
      <c r="H83" s="6">
        <f>ROUND('Erkrankungs- und Strukturdaten'!$C$8*D83-IF(G83&gt;'Erkrankungs- und Strukturdaten'!$C$14,VLOOKUP(Prognoseergebnis!G83-ROUNDDOWN('Erkrankungs- und Strukturdaten'!$C$14,0),$A:$D,$D$6,FALSE)*'Erkrankungs- und Strukturdaten'!$C$8,0)
+IF(G83&gt;'Erkrankungs- und Strukturdaten'!$C$15,VLOOKUP(Prognoseergebnis!G83-ROUNDDOWN('Erkrankungs- und Strukturdaten'!$C$15,0),A:D,$D$6,FALSE)*'Erkrankungs- und Strukturdaten'!$C$9,0)
-IF(G83&gt;'Erkrankungs- und Strukturdaten'!$C$15+'Erkrankungs- und Strukturdaten'!$C$16,VLOOKUP(Prognoseergebnis!G83-ROUNDDOWN('Erkrankungs- und Strukturdaten'!$C$15-'Erkrankungs- und Strukturdaten'!$C$16,0),A:D,$D$6,FALSE)*'Erkrankungs- und Strukturdaten'!$C$9,0),0)</f>
        <v>2296</v>
      </c>
      <c r="I83" s="6">
        <f>ROUND('Erkrankungs- und Strukturdaten'!$C$9*D83-IF(G83&gt;'Erkrankungs- und Strukturdaten'!$C$15,VLOOKUP(Prognoseergebnis!G83-'Erkrankungs- und Strukturdaten'!$C$15,$A:$D,$D$6,FALSE)*'Erkrankungs- und Strukturdaten'!$C$9,0),0)</f>
        <v>392</v>
      </c>
      <c r="J83" s="6">
        <f>I83*'Erkrankungs- und Strukturdaten'!$C$10/'Erkrankungs- und Strukturdaten'!$C$9</f>
        <v>192.08</v>
      </c>
      <c r="K83" s="6">
        <f>I83*'Erkrankungs- und Strukturdaten'!$C$21</f>
        <v>7840</v>
      </c>
      <c r="L83" s="11"/>
      <c r="M83" s="82">
        <f>SUM($K$66:K83)</f>
        <v>132140</v>
      </c>
      <c r="N83" s="9"/>
      <c r="O83" s="6">
        <f>IF(AND(((H83/'Erkrankungs- und Strukturdaten'!$C$25)*'Erkrankungs- und Strukturdaten'!$E$27)+(H83/'Erkrankungs- und Strukturdaten'!$C$26)&lt;1,((H83/'Erkrankungs- und Strukturdaten'!$C$25)*'Erkrankungs- und Strukturdaten'!$E$27)+(H83/'Erkrankungs- und Strukturdaten'!$C$26)&gt;0),1,((H83/'Erkrankungs- und Strukturdaten'!$C$25)*'Erkrankungs- und Strukturdaten'!$E$27)+(H83/'Erkrankungs- und Strukturdaten'!$C$26))</f>
        <v>994.93333333333339</v>
      </c>
      <c r="P83" s="6">
        <f>ROUNDUP(((I83/'Erkrankungs- und Strukturdaten'!$C$28)*'Erkrankungs- und Strukturdaten'!$E$30)+(I83/'Erkrankungs- und Strukturdaten'!$C$29),0)</f>
        <v>426</v>
      </c>
      <c r="Q83" s="6">
        <f>ROUNDUP((H83/'Erkrankungs- und Strukturdaten'!$C$34*'Erkrankungs- und Strukturdaten'!$E$36)+(H83/'Erkrankungs- und Strukturdaten'!$C$35),0)</f>
        <v>160</v>
      </c>
      <c r="R83" s="6">
        <f>ROUNDUP((I83*'Erkrankungs- und Strukturdaten'!$C$40/'Erkrankungs- und Strukturdaten'!$C$38*'Erkrankungs- und Strukturdaten'!$E$39)+(I83*(1-'Erkrankungs- und Strukturdaten'!$C$40)/'Erkrankungs- und Strukturdaten'!$C$37*'Erkrankungs- und Strukturdaten'!$E$39),0)</f>
        <v>54</v>
      </c>
      <c r="S83" s="52"/>
      <c r="T83" s="51"/>
      <c r="U83" s="44">
        <f>((H83/'Erkrankungs- und Strukturdaten'!$C$25)*'Erkrankungs- und Strukturdaten'!$E$27*'Erkrankungs- und Strukturdaten'!$F$27)+(H83/'Erkrankungs- und Strukturdaten'!$C$26*'Erkrankungs- und Strukturdaten'!$G$27)</f>
        <v>8189.0666666666675</v>
      </c>
      <c r="V83" s="44">
        <f>(I83/'Erkrankungs- und Strukturdaten'!$C$28*'Erkrankungs- und Strukturdaten'!$E$30*'Erkrankungs- und Strukturdaten'!$F$30)+(I83/'Erkrankungs- und Strukturdaten'!$C$29*'Erkrankungs- und Strukturdaten'!$G$30)</f>
        <v>3478.7200000000003</v>
      </c>
      <c r="AB83" s="2">
        <f t="shared" si="3"/>
        <v>44318</v>
      </c>
    </row>
    <row r="84" spans="1:28" ht="15" x14ac:dyDescent="0.2">
      <c r="A84" s="42">
        <v>75</v>
      </c>
      <c r="B84" s="370"/>
      <c r="C84" s="28">
        <f t="shared" si="4"/>
        <v>44319</v>
      </c>
      <c r="D84" s="5">
        <f>SUMIF('Fallzahlen (Berechnung)'!D:D,"&lt;="&amp;Prognoseergebnis!C84,'Fallzahlen (Berechnung)'!E:E)-'Fallzahlen (Berechnung)'!$E$1</f>
        <v>672474.30574434716</v>
      </c>
      <c r="E84" s="115">
        <f>VLOOKUP(C84,'Fallzahlen (Berechnung)'!$D:$E,'Fallzahlen (Berechnung)'!$E$1,FALSE)</f>
        <v>3223.5898271636734</v>
      </c>
      <c r="F84" s="26"/>
      <c r="G84" s="18">
        <v>75</v>
      </c>
      <c r="H84" s="5">
        <f>ROUND('Erkrankungs- und Strukturdaten'!$C$8*D84-IF(G84&gt;'Erkrankungs- und Strukturdaten'!$C$14,VLOOKUP(Prognoseergebnis!G84-ROUNDDOWN('Erkrankungs- und Strukturdaten'!$C$14,0),$A:$D,$D$6,FALSE)*'Erkrankungs- und Strukturdaten'!$C$8,0)
+IF(G84&gt;'Erkrankungs- und Strukturdaten'!$C$15,VLOOKUP(Prognoseergebnis!G84-ROUNDDOWN('Erkrankungs- und Strukturdaten'!$C$15,0),A:D,$D$6,FALSE)*'Erkrankungs- und Strukturdaten'!$C$9,0)
-IF(G84&gt;'Erkrankungs- und Strukturdaten'!$C$15+'Erkrankungs- und Strukturdaten'!$C$16,VLOOKUP(Prognoseergebnis!G84-ROUNDDOWN('Erkrankungs- und Strukturdaten'!$C$15-'Erkrankungs- und Strukturdaten'!$C$16,0),A:D,$D$6,FALSE)*'Erkrankungs- und Strukturdaten'!$C$9,0),0)</f>
        <v>2341</v>
      </c>
      <c r="I84" s="5">
        <f>ROUND('Erkrankungs- und Strukturdaten'!$C$9*D84-IF(G84&gt;'Erkrankungs- und Strukturdaten'!$C$15,VLOOKUP(Prognoseergebnis!G84-'Erkrankungs- und Strukturdaten'!$C$15,$A:$D,$D$6,FALSE)*'Erkrankungs- und Strukturdaten'!$C$9,0),0)</f>
        <v>415</v>
      </c>
      <c r="J84" s="5">
        <f>I84*'Erkrankungs- und Strukturdaten'!$C$10/'Erkrankungs- und Strukturdaten'!$C$9</f>
        <v>203.35000000000002</v>
      </c>
      <c r="K84" s="5">
        <f>I84*'Erkrankungs- und Strukturdaten'!$C$21</f>
        <v>8300</v>
      </c>
      <c r="L84" s="11"/>
      <c r="M84" s="82">
        <f>SUM($K$66:K84)</f>
        <v>140440</v>
      </c>
      <c r="N84" s="9"/>
      <c r="O84" s="5">
        <f>IF(AND(((H84/'Erkrankungs- und Strukturdaten'!$C$25)*'Erkrankungs- und Strukturdaten'!$E$27)+(H84/'Erkrankungs- und Strukturdaten'!$C$26)&lt;1,((H84/'Erkrankungs- und Strukturdaten'!$C$25)*'Erkrankungs- und Strukturdaten'!$E$27)+(H84/'Erkrankungs- und Strukturdaten'!$C$26)&gt;0),1,((H84/'Erkrankungs- und Strukturdaten'!$C$25)*'Erkrankungs- und Strukturdaten'!$E$27)+(H84/'Erkrankungs- und Strukturdaten'!$C$26))</f>
        <v>1014.4333333333334</v>
      </c>
      <c r="P84" s="5">
        <f>ROUNDUP(((I84/'Erkrankungs- und Strukturdaten'!$C$28)*'Erkrankungs- und Strukturdaten'!$E$30)+(I84/'Erkrankungs- und Strukturdaten'!$C$29),0)</f>
        <v>451</v>
      </c>
      <c r="Q84" s="5">
        <f>ROUNDUP((H84/'Erkrankungs- und Strukturdaten'!$C$34*'Erkrankungs- und Strukturdaten'!$E$36)+(H84/'Erkrankungs- und Strukturdaten'!$C$35),0)</f>
        <v>163</v>
      </c>
      <c r="R84" s="5">
        <f>ROUNDUP((I84*'Erkrankungs- und Strukturdaten'!$C$40/'Erkrankungs- und Strukturdaten'!$C$38*'Erkrankungs- und Strukturdaten'!$E$39)+(I84*(1-'Erkrankungs- und Strukturdaten'!$C$40)/'Erkrankungs- und Strukturdaten'!$C$37*'Erkrankungs- und Strukturdaten'!$E$39),0)</f>
        <v>57</v>
      </c>
      <c r="S84" s="52"/>
      <c r="T84" s="51"/>
      <c r="U84" s="44">
        <f>((H84/'Erkrankungs- und Strukturdaten'!$C$25)*'Erkrankungs- und Strukturdaten'!$E$27*'Erkrankungs- und Strukturdaten'!$F$27)+(H84/'Erkrankungs- und Strukturdaten'!$C$26*'Erkrankungs- und Strukturdaten'!$G$27)</f>
        <v>8349.5666666666675</v>
      </c>
      <c r="V84" s="44">
        <f>(I84/'Erkrankungs- und Strukturdaten'!$C$28*'Erkrankungs- und Strukturdaten'!$E$30*'Erkrankungs- und Strukturdaten'!$F$30)+(I84/'Erkrankungs- und Strukturdaten'!$C$29*'Erkrankungs- und Strukturdaten'!$G$30)</f>
        <v>3682.8285714285712</v>
      </c>
      <c r="AB84" s="2">
        <f t="shared" si="3"/>
        <v>44319</v>
      </c>
    </row>
    <row r="85" spans="1:28" ht="15" x14ac:dyDescent="0.2">
      <c r="A85" s="42">
        <v>76</v>
      </c>
      <c r="B85" s="370"/>
      <c r="C85" s="27">
        <f t="shared" si="4"/>
        <v>44320</v>
      </c>
      <c r="D85" s="6">
        <f>SUMIF('Fallzahlen (Berechnung)'!D:D,"&lt;="&amp;Prognoseergebnis!C85,'Fallzahlen (Berechnung)'!E:E)-'Fallzahlen (Berechnung)'!$E$1</f>
        <v>675850.88985992048</v>
      </c>
      <c r="E85" s="114">
        <f>VLOOKUP(C85,'Fallzahlen (Berechnung)'!$D:$E,'Fallzahlen (Berechnung)'!$E$1,FALSE)</f>
        <v>3376.5841155732787</v>
      </c>
      <c r="F85" s="26"/>
      <c r="G85" s="18">
        <v>76</v>
      </c>
      <c r="H85" s="6">
        <f>ROUND('Erkrankungs- und Strukturdaten'!$C$8*D85-IF(G85&gt;'Erkrankungs- und Strukturdaten'!$C$14,VLOOKUP(Prognoseergebnis!G85-ROUNDDOWN('Erkrankungs- und Strukturdaten'!$C$14,0),$A:$D,$D$6,FALSE)*'Erkrankungs- und Strukturdaten'!$C$8,0)
+IF(G85&gt;'Erkrankungs- und Strukturdaten'!$C$15,VLOOKUP(Prognoseergebnis!G85-ROUNDDOWN('Erkrankungs- und Strukturdaten'!$C$15,0),A:D,$D$6,FALSE)*'Erkrankungs- und Strukturdaten'!$C$9,0)
-IF(G85&gt;'Erkrankungs- und Strukturdaten'!$C$15+'Erkrankungs- und Strukturdaten'!$C$16,VLOOKUP(Prognoseergebnis!G85-ROUNDDOWN('Erkrankungs- und Strukturdaten'!$C$15-'Erkrankungs- und Strukturdaten'!$C$16,0),A:D,$D$6,FALSE)*'Erkrankungs- und Strukturdaten'!$C$9,0),0)</f>
        <v>2404</v>
      </c>
      <c r="I85" s="6">
        <f>ROUND('Erkrankungs- und Strukturdaten'!$C$9*D85-IF(G85&gt;'Erkrankungs- und Strukturdaten'!$C$15,VLOOKUP(Prognoseergebnis!G85-'Erkrankungs- und Strukturdaten'!$C$15,$A:$D,$D$6,FALSE)*'Erkrankungs- und Strukturdaten'!$C$9,0),0)</f>
        <v>421</v>
      </c>
      <c r="J85" s="6">
        <f>I85*'Erkrankungs- und Strukturdaten'!$C$10/'Erkrankungs- und Strukturdaten'!$C$9</f>
        <v>206.29000000000002</v>
      </c>
      <c r="K85" s="6">
        <f>I85*'Erkrankungs- und Strukturdaten'!$C$21</f>
        <v>8420</v>
      </c>
      <c r="L85" s="11"/>
      <c r="M85" s="82">
        <f>SUM($K$66:K85)</f>
        <v>148860</v>
      </c>
      <c r="N85" s="9"/>
      <c r="O85" s="6">
        <f>IF(AND(((H85/'Erkrankungs- und Strukturdaten'!$C$25)*'Erkrankungs- und Strukturdaten'!$E$27)+(H85/'Erkrankungs- und Strukturdaten'!$C$26)&lt;1,((H85/'Erkrankungs- und Strukturdaten'!$C$25)*'Erkrankungs- und Strukturdaten'!$E$27)+(H85/'Erkrankungs- und Strukturdaten'!$C$26)&gt;0),1,((H85/'Erkrankungs- und Strukturdaten'!$C$25)*'Erkrankungs- und Strukturdaten'!$E$27)+(H85/'Erkrankungs- und Strukturdaten'!$C$26))</f>
        <v>1041.7333333333333</v>
      </c>
      <c r="P85" s="6">
        <f>ROUNDUP(((I85/'Erkrankungs- und Strukturdaten'!$C$28)*'Erkrankungs- und Strukturdaten'!$E$30)+(I85/'Erkrankungs- und Strukturdaten'!$C$29),0)</f>
        <v>458</v>
      </c>
      <c r="Q85" s="6">
        <f>ROUNDUP((H85/'Erkrankungs- und Strukturdaten'!$C$34*'Erkrankungs- und Strukturdaten'!$E$36)+(H85/'Erkrankungs- und Strukturdaten'!$C$35),0)</f>
        <v>167</v>
      </c>
      <c r="R85" s="6">
        <f>ROUNDUP((I85*'Erkrankungs- und Strukturdaten'!$C$40/'Erkrankungs- und Strukturdaten'!$C$38*'Erkrankungs- und Strukturdaten'!$E$39)+(I85*(1-'Erkrankungs- und Strukturdaten'!$C$40)/'Erkrankungs- und Strukturdaten'!$C$37*'Erkrankungs- und Strukturdaten'!$E$39),0)</f>
        <v>58</v>
      </c>
      <c r="S85" s="52"/>
      <c r="T85" s="51"/>
      <c r="U85" s="44">
        <f>((H85/'Erkrankungs- und Strukturdaten'!$C$25)*'Erkrankungs- und Strukturdaten'!$E$27*'Erkrankungs- und Strukturdaten'!$F$27)+(H85/'Erkrankungs- und Strukturdaten'!$C$26*'Erkrankungs- und Strukturdaten'!$G$27)</f>
        <v>8574.2666666666664</v>
      </c>
      <c r="V85" s="44">
        <f>(I85/'Erkrankungs- und Strukturdaten'!$C$28*'Erkrankungs- und Strukturdaten'!$E$30*'Erkrankungs- und Strukturdaten'!$F$30)+(I85/'Erkrankungs- und Strukturdaten'!$C$29*'Erkrankungs- und Strukturdaten'!$G$30)</f>
        <v>3736.0742857142859</v>
      </c>
      <c r="AB85" s="2">
        <f t="shared" si="3"/>
        <v>44320</v>
      </c>
    </row>
    <row r="86" spans="1:28" ht="15" x14ac:dyDescent="0.2">
      <c r="A86" s="42">
        <v>77</v>
      </c>
      <c r="B86" s="370"/>
      <c r="C86" s="29">
        <f t="shared" si="4"/>
        <v>44321</v>
      </c>
      <c r="D86" s="30">
        <f>SUMIF('Fallzahlen (Berechnung)'!D:D,"&lt;="&amp;Prognoseergebnis!C86,'Fallzahlen (Berechnung)'!E:E)-'Fallzahlen (Berechnung)'!$E$1</f>
        <v>678926.94742840249</v>
      </c>
      <c r="E86" s="117">
        <f>VLOOKUP(C86,'Fallzahlen (Berechnung)'!$D:$E,'Fallzahlen (Berechnung)'!$E$1,FALSE)</f>
        <v>3076.0575684819801</v>
      </c>
      <c r="F86" s="26"/>
      <c r="G86" s="18">
        <v>77</v>
      </c>
      <c r="H86" s="30">
        <f>ROUND('Erkrankungs- und Strukturdaten'!$C$8*D86-IF(G86&gt;'Erkrankungs- und Strukturdaten'!$C$14,VLOOKUP(Prognoseergebnis!G86-ROUNDDOWN('Erkrankungs- und Strukturdaten'!$C$14,0),$A:$D,$D$6,FALSE)*'Erkrankungs- und Strukturdaten'!$C$8,0)
+IF(G86&gt;'Erkrankungs- und Strukturdaten'!$C$15,VLOOKUP(Prognoseergebnis!G86-ROUNDDOWN('Erkrankungs- und Strukturdaten'!$C$15,0),A:D,$D$6,FALSE)*'Erkrankungs- und Strukturdaten'!$C$9,0)
-IF(G86&gt;'Erkrankungs- und Strukturdaten'!$C$15+'Erkrankungs- und Strukturdaten'!$C$16,VLOOKUP(Prognoseergebnis!G86-ROUNDDOWN('Erkrankungs- und Strukturdaten'!$C$15-'Erkrankungs- und Strukturdaten'!$C$16,0),A:D,$D$6,FALSE)*'Erkrankungs- und Strukturdaten'!$C$9,0),0)</f>
        <v>2425</v>
      </c>
      <c r="I86" s="30">
        <f>ROUND('Erkrankungs- und Strukturdaten'!$C$9*D86-IF(G86&gt;'Erkrankungs- und Strukturdaten'!$C$15,VLOOKUP(Prognoseergebnis!G86-'Erkrankungs- und Strukturdaten'!$C$15,$A:$D,$D$6,FALSE)*'Erkrankungs- und Strukturdaten'!$C$9,0),0)</f>
        <v>427</v>
      </c>
      <c r="J86" s="30">
        <f>I86*'Erkrankungs- und Strukturdaten'!$C$10/'Erkrankungs- und Strukturdaten'!$C$9</f>
        <v>209.23</v>
      </c>
      <c r="K86" s="30">
        <f>I86*'Erkrankungs- und Strukturdaten'!$C$21</f>
        <v>8540</v>
      </c>
      <c r="L86" s="11"/>
      <c r="M86" s="82">
        <f>SUM($K$66:K86)</f>
        <v>157400</v>
      </c>
      <c r="N86" s="9"/>
      <c r="O86" s="30">
        <f>IF(AND(((H86/'Erkrankungs- und Strukturdaten'!$C$25)*'Erkrankungs- und Strukturdaten'!$E$27)+(H86/'Erkrankungs- und Strukturdaten'!$C$26)&lt;1,((H86/'Erkrankungs- und Strukturdaten'!$C$25)*'Erkrankungs- und Strukturdaten'!$E$27)+(H86/'Erkrankungs- und Strukturdaten'!$C$26)&gt;0),1,((H86/'Erkrankungs- und Strukturdaten'!$C$25)*'Erkrankungs- und Strukturdaten'!$E$27)+(H86/'Erkrankungs- und Strukturdaten'!$C$26))</f>
        <v>1050.8333333333335</v>
      </c>
      <c r="P86" s="30">
        <f>ROUNDUP(((I86/'Erkrankungs- und Strukturdaten'!$C$28)*'Erkrankungs- und Strukturdaten'!$E$30)+(I86/'Erkrankungs- und Strukturdaten'!$C$29),0)</f>
        <v>464</v>
      </c>
      <c r="Q86" s="30">
        <f>ROUNDUP((H86/'Erkrankungs- und Strukturdaten'!$C$34*'Erkrankungs- und Strukturdaten'!$E$36)+(H86/'Erkrankungs- und Strukturdaten'!$C$35),0)</f>
        <v>169</v>
      </c>
      <c r="R86" s="30">
        <f>ROUNDUP((I86*'Erkrankungs- und Strukturdaten'!$C$40/'Erkrankungs- und Strukturdaten'!$C$38*'Erkrankungs- und Strukturdaten'!$E$39)+(I86*(1-'Erkrankungs- und Strukturdaten'!$C$40)/'Erkrankungs- und Strukturdaten'!$C$37*'Erkrankungs- und Strukturdaten'!$E$39),0)</f>
        <v>59</v>
      </c>
      <c r="S86" s="52"/>
      <c r="T86" s="51"/>
      <c r="U86" s="44">
        <f>((H86/'Erkrankungs- und Strukturdaten'!$C$25)*'Erkrankungs- und Strukturdaten'!$E$27*'Erkrankungs- und Strukturdaten'!$F$27)+(H86/'Erkrankungs- und Strukturdaten'!$C$26*'Erkrankungs- und Strukturdaten'!$G$27)</f>
        <v>8649.1666666666679</v>
      </c>
      <c r="V86" s="44">
        <f>(I86/'Erkrankungs- und Strukturdaten'!$C$28*'Erkrankungs- und Strukturdaten'!$E$30*'Erkrankungs- und Strukturdaten'!$F$30)+(I86/'Erkrankungs- und Strukturdaten'!$C$29*'Erkrankungs- und Strukturdaten'!$G$30)</f>
        <v>3789.32</v>
      </c>
      <c r="AB86" s="2">
        <f t="shared" si="3"/>
        <v>44321</v>
      </c>
    </row>
    <row r="87" spans="1:28" ht="14.85" customHeight="1" x14ac:dyDescent="0.2">
      <c r="A87" s="42">
        <v>78</v>
      </c>
      <c r="B87" s="371" t="s">
        <v>33</v>
      </c>
      <c r="C87" s="76">
        <f t="shared" si="4"/>
        <v>44322</v>
      </c>
      <c r="D87" s="77">
        <f>SUMIF('Fallzahlen (Berechnung)'!D:D,"&lt;="&amp;Prognoseergebnis!C87,'Fallzahlen (Berechnung)'!E:E)-'Fallzahlen (Berechnung)'!$E$1</f>
        <v>681986.57613895123</v>
      </c>
      <c r="E87" s="118">
        <f>VLOOKUP(C87,'Fallzahlen (Berechnung)'!$D:$E,'Fallzahlen (Berechnung)'!$E$1,FALSE)</f>
        <v>3059.6287105487741</v>
      </c>
      <c r="G87" s="18">
        <v>78</v>
      </c>
      <c r="H87" s="77">
        <f>ROUND('Erkrankungs- und Strukturdaten'!$C$8*D87-IF(G87&gt;'Erkrankungs- und Strukturdaten'!$C$14,VLOOKUP(Prognoseergebnis!G87-ROUNDDOWN('Erkrankungs- und Strukturdaten'!$C$14,0),$A:$D,$D$6,FALSE)*'Erkrankungs- und Strukturdaten'!$C$8,0)
+IF(G87&gt;'Erkrankungs- und Strukturdaten'!$C$15,VLOOKUP(Prognoseergebnis!G87-ROUNDDOWN('Erkrankungs- und Strukturdaten'!$C$15,0),A:D,$D$6,FALSE)*'Erkrankungs- und Strukturdaten'!$C$9,0)
-IF(G87&gt;'Erkrankungs- und Strukturdaten'!$C$15+'Erkrankungs- und Strukturdaten'!$C$16,VLOOKUP(Prognoseergebnis!G87-ROUNDDOWN('Erkrankungs- und Strukturdaten'!$C$15-'Erkrankungs- und Strukturdaten'!$C$16,0),A:D,$D$6,FALSE)*'Erkrankungs- und Strukturdaten'!$C$9,0),0)</f>
        <v>2442</v>
      </c>
      <c r="I87" s="77">
        <f>ROUND('Erkrankungs- und Strukturdaten'!$C$9*D87-IF(G87&gt;'Erkrankungs- und Strukturdaten'!$C$15,VLOOKUP(Prognoseergebnis!G87-'Erkrankungs- und Strukturdaten'!$C$15,$A:$D,$D$6,FALSE)*'Erkrankungs- und Strukturdaten'!$C$9,0),0)</f>
        <v>434</v>
      </c>
      <c r="J87" s="77">
        <f>I87*'Erkrankungs- und Strukturdaten'!$C$10/'Erkrankungs- und Strukturdaten'!$C$9</f>
        <v>212.66</v>
      </c>
      <c r="K87" s="77">
        <f>I87*'Erkrankungs- und Strukturdaten'!$C$21</f>
        <v>8680</v>
      </c>
      <c r="L87" s="11"/>
      <c r="M87" s="82">
        <f>SUM($K$66:K87)</f>
        <v>166080</v>
      </c>
      <c r="N87" s="9"/>
      <c r="O87" s="77">
        <f>IF(AND(((H87/'Erkrankungs- und Strukturdaten'!$C$25)*'Erkrankungs- und Strukturdaten'!$E$27)+(H87/'Erkrankungs- und Strukturdaten'!$C$26)&lt;1,((H87/'Erkrankungs- und Strukturdaten'!$C$25)*'Erkrankungs- und Strukturdaten'!$E$27)+(H87/'Erkrankungs- und Strukturdaten'!$C$26)&gt;0),1,((H87/'Erkrankungs- und Strukturdaten'!$C$25)*'Erkrankungs- und Strukturdaten'!$E$27)+(H87/'Erkrankungs- und Strukturdaten'!$C$26))</f>
        <v>1058.2</v>
      </c>
      <c r="P87" s="77">
        <f>ROUNDUP(((I87/'Erkrankungs- und Strukturdaten'!$C$28)*'Erkrankungs- und Strukturdaten'!$E$30)+(I87/'Erkrankungs- und Strukturdaten'!$C$29),0)</f>
        <v>472</v>
      </c>
      <c r="Q87" s="77">
        <f>ROUNDUP((H87/'Erkrankungs- und Strukturdaten'!$C$34*'Erkrankungs- und Strukturdaten'!$E$36)+(H87/'Erkrankungs- und Strukturdaten'!$C$35),0)</f>
        <v>170</v>
      </c>
      <c r="R87" s="77">
        <f>ROUNDUP((I87*'Erkrankungs- und Strukturdaten'!$C$40/'Erkrankungs- und Strukturdaten'!$C$38*'Erkrankungs- und Strukturdaten'!$E$39)+(I87*(1-'Erkrankungs- und Strukturdaten'!$C$40)/'Erkrankungs- und Strukturdaten'!$C$37*'Erkrankungs- und Strukturdaten'!$E$39),0)</f>
        <v>60</v>
      </c>
      <c r="S87" s="52"/>
      <c r="U87" s="44">
        <f>((H87/'Erkrankungs- und Strukturdaten'!$C$25)*'Erkrankungs- und Strukturdaten'!$E$27*'Erkrankungs- und Strukturdaten'!$F$27)+(H87/'Erkrankungs- und Strukturdaten'!$C$26*'Erkrankungs- und Strukturdaten'!$G$27)</f>
        <v>8709.7999999999993</v>
      </c>
      <c r="V87" s="44">
        <f>(I87/'Erkrankungs- und Strukturdaten'!$C$28*'Erkrankungs- und Strukturdaten'!$E$30*'Erkrankungs- und Strukturdaten'!$F$30)+(I87/'Erkrankungs- und Strukturdaten'!$C$29*'Erkrankungs- und Strukturdaten'!$G$30)</f>
        <v>3851.44</v>
      </c>
      <c r="AB87" s="2">
        <f t="shared" si="3"/>
        <v>44322</v>
      </c>
    </row>
    <row r="88" spans="1:28" ht="15" x14ac:dyDescent="0.2">
      <c r="A88" s="42">
        <v>79</v>
      </c>
      <c r="B88" s="371"/>
      <c r="C88" s="28">
        <f t="shared" si="4"/>
        <v>44323</v>
      </c>
      <c r="D88" s="5">
        <f>SUMIF('Fallzahlen (Berechnung)'!D:D,"&lt;="&amp;Prognoseergebnis!C88,'Fallzahlen (Berechnung)'!E:E)-'Fallzahlen (Berechnung)'!$E$1</f>
        <v>684703.67499313422</v>
      </c>
      <c r="E88" s="115">
        <f>VLOOKUP(C88,'Fallzahlen (Berechnung)'!$D:$E,'Fallzahlen (Berechnung)'!$E$1,FALSE)</f>
        <v>2717.0988541829897</v>
      </c>
      <c r="G88" s="18">
        <v>79</v>
      </c>
      <c r="H88" s="5">
        <f>ROUND('Erkrankungs- und Strukturdaten'!$C$8*D88-IF(G88&gt;'Erkrankungs- und Strukturdaten'!$C$14,VLOOKUP(Prognoseergebnis!G88-ROUNDDOWN('Erkrankungs- und Strukturdaten'!$C$14,0),$A:$D,$D$6,FALSE)*'Erkrankungs- und Strukturdaten'!$C$8,0)
+IF(G88&gt;'Erkrankungs- und Strukturdaten'!$C$15,VLOOKUP(Prognoseergebnis!G88-ROUNDDOWN('Erkrankungs- und Strukturdaten'!$C$15,0),A:D,$D$6,FALSE)*'Erkrankungs- und Strukturdaten'!$C$9,0)
-IF(G88&gt;'Erkrankungs- und Strukturdaten'!$C$15+'Erkrankungs- und Strukturdaten'!$C$16,VLOOKUP(Prognoseergebnis!G88-ROUNDDOWN('Erkrankungs- und Strukturdaten'!$C$15-'Erkrankungs- und Strukturdaten'!$C$16,0),A:D,$D$6,FALSE)*'Erkrankungs- und Strukturdaten'!$C$9,0),0)</f>
        <v>2473</v>
      </c>
      <c r="I88" s="5">
        <f>ROUND('Erkrankungs- und Strukturdaten'!$C$9*D88-IF(G88&gt;'Erkrankungs- und Strukturdaten'!$C$15,VLOOKUP(Prognoseergebnis!G88-'Erkrankungs- und Strukturdaten'!$C$15,$A:$D,$D$6,FALSE)*'Erkrankungs- und Strukturdaten'!$C$9,0),0)</f>
        <v>432</v>
      </c>
      <c r="J88" s="5">
        <f>I88*'Erkrankungs- und Strukturdaten'!$C$10/'Erkrankungs- und Strukturdaten'!$C$9</f>
        <v>211.68</v>
      </c>
      <c r="K88" s="5">
        <f>I88*'Erkrankungs- und Strukturdaten'!$C$21</f>
        <v>8640</v>
      </c>
      <c r="L88" s="11"/>
      <c r="M88" s="82">
        <f>SUM($K$66:K88)</f>
        <v>174720</v>
      </c>
      <c r="N88" s="9"/>
      <c r="O88" s="5">
        <f>IF(AND(((H88/'Erkrankungs- und Strukturdaten'!$C$25)*'Erkrankungs- und Strukturdaten'!$E$27)+(H88/'Erkrankungs- und Strukturdaten'!$C$26)&lt;1,((H88/'Erkrankungs- und Strukturdaten'!$C$25)*'Erkrankungs- und Strukturdaten'!$E$27)+(H88/'Erkrankungs- und Strukturdaten'!$C$26)&gt;0),1,((H88/'Erkrankungs- und Strukturdaten'!$C$25)*'Erkrankungs- und Strukturdaten'!$E$27)+(H88/'Erkrankungs- und Strukturdaten'!$C$26))</f>
        <v>1071.6333333333334</v>
      </c>
      <c r="P88" s="5">
        <f>ROUNDUP(((I88/'Erkrankungs- und Strukturdaten'!$C$28)*'Erkrankungs- und Strukturdaten'!$E$30)+(I88/'Erkrankungs- und Strukturdaten'!$C$29),0)</f>
        <v>470</v>
      </c>
      <c r="Q88" s="5">
        <f>ROUNDUP((H88/'Erkrankungs- und Strukturdaten'!$C$34*'Erkrankungs- und Strukturdaten'!$E$36)+(H88/'Erkrankungs- und Strukturdaten'!$C$35),0)</f>
        <v>172</v>
      </c>
      <c r="R88" s="5">
        <f>ROUNDUP((I88*'Erkrankungs- und Strukturdaten'!$C$40/'Erkrankungs- und Strukturdaten'!$C$38*'Erkrankungs- und Strukturdaten'!$E$39)+(I88*(1-'Erkrankungs- und Strukturdaten'!$C$40)/'Erkrankungs- und Strukturdaten'!$C$37*'Erkrankungs- und Strukturdaten'!$E$39),0)</f>
        <v>60</v>
      </c>
      <c r="S88" s="52"/>
      <c r="U88" s="44">
        <f>((H88/'Erkrankungs- und Strukturdaten'!$C$25)*'Erkrankungs- und Strukturdaten'!$E$27*'Erkrankungs- und Strukturdaten'!$F$27)+(H88/'Erkrankungs- und Strukturdaten'!$C$26*'Erkrankungs- und Strukturdaten'!$G$27)</f>
        <v>8820.3666666666668</v>
      </c>
      <c r="V88" s="44">
        <f>(I88/'Erkrankungs- und Strukturdaten'!$C$28*'Erkrankungs- und Strukturdaten'!$E$30*'Erkrankungs- und Strukturdaten'!$F$30)+(I88/'Erkrankungs- und Strukturdaten'!$C$29*'Erkrankungs- und Strukturdaten'!$G$30)</f>
        <v>3833.6914285714292</v>
      </c>
      <c r="AB88" s="2">
        <f t="shared" si="3"/>
        <v>44323</v>
      </c>
    </row>
    <row r="89" spans="1:28" ht="15" x14ac:dyDescent="0.2">
      <c r="A89" s="42">
        <v>80</v>
      </c>
      <c r="B89" s="371"/>
      <c r="C89" s="27">
        <f t="shared" si="4"/>
        <v>44324</v>
      </c>
      <c r="D89" s="6">
        <f>SUMIF('Fallzahlen (Berechnung)'!D:D,"&lt;="&amp;Prognoseergebnis!C89,'Fallzahlen (Berechnung)'!E:E)-'Fallzahlen (Berechnung)'!$E$1</f>
        <v>686774.33091189479</v>
      </c>
      <c r="E89" s="114">
        <f>VLOOKUP(C89,'Fallzahlen (Berechnung)'!$D:$E,'Fallzahlen (Berechnung)'!$E$1,FALSE)</f>
        <v>2070.6559187606313</v>
      </c>
      <c r="G89" s="18">
        <v>80</v>
      </c>
      <c r="H89" s="6">
        <f>ROUND('Erkrankungs- und Strukturdaten'!$C$8*D89-IF(G89&gt;'Erkrankungs- und Strukturdaten'!$C$14,VLOOKUP(Prognoseergebnis!G89-ROUNDDOWN('Erkrankungs- und Strukturdaten'!$C$14,0),$A:$D,$D$6,FALSE)*'Erkrankungs- und Strukturdaten'!$C$8,0)
+IF(G89&gt;'Erkrankungs- und Strukturdaten'!$C$15,VLOOKUP(Prognoseergebnis!G89-ROUNDDOWN('Erkrankungs- und Strukturdaten'!$C$15,0),A:D,$D$6,FALSE)*'Erkrankungs- und Strukturdaten'!$C$9,0)
-IF(G89&gt;'Erkrankungs- und Strukturdaten'!$C$15+'Erkrankungs- und Strukturdaten'!$C$16,VLOOKUP(Prognoseergebnis!G89-ROUNDDOWN('Erkrankungs- und Strukturdaten'!$C$15-'Erkrankungs- und Strukturdaten'!$C$16,0),A:D,$D$6,FALSE)*'Erkrankungs- und Strukturdaten'!$C$9,0),0)</f>
        <v>2492</v>
      </c>
      <c r="I89" s="6">
        <f>ROUND('Erkrankungs- und Strukturdaten'!$C$9*D89-IF(G89&gt;'Erkrankungs- und Strukturdaten'!$C$15,VLOOKUP(Prognoseergebnis!G89-'Erkrankungs- und Strukturdaten'!$C$15,$A:$D,$D$6,FALSE)*'Erkrankungs- und Strukturdaten'!$C$9,0),0)</f>
        <v>428</v>
      </c>
      <c r="J89" s="6">
        <f>I89*'Erkrankungs- und Strukturdaten'!$C$10/'Erkrankungs- und Strukturdaten'!$C$9</f>
        <v>209.72</v>
      </c>
      <c r="K89" s="6">
        <f>I89*'Erkrankungs- und Strukturdaten'!$C$21</f>
        <v>8560</v>
      </c>
      <c r="L89" s="11"/>
      <c r="M89" s="82">
        <f>SUM($K$66:K89)</f>
        <v>183280</v>
      </c>
      <c r="N89" s="9"/>
      <c r="O89" s="6">
        <f>IF(AND(((H89/'Erkrankungs- und Strukturdaten'!$C$25)*'Erkrankungs- und Strukturdaten'!$E$27)+(H89/'Erkrankungs- und Strukturdaten'!$C$26)&lt;1,((H89/'Erkrankungs- und Strukturdaten'!$C$25)*'Erkrankungs- und Strukturdaten'!$E$27)+(H89/'Erkrankungs- und Strukturdaten'!$C$26)&gt;0),1,((H89/'Erkrankungs- und Strukturdaten'!$C$25)*'Erkrankungs- und Strukturdaten'!$E$27)+(H89/'Erkrankungs- und Strukturdaten'!$C$26))</f>
        <v>1079.8666666666666</v>
      </c>
      <c r="P89" s="6">
        <f>ROUNDUP(((I89/'Erkrankungs- und Strukturdaten'!$C$28)*'Erkrankungs- und Strukturdaten'!$E$30)+(I89/'Erkrankungs- und Strukturdaten'!$C$29),0)</f>
        <v>465</v>
      </c>
      <c r="Q89" s="6">
        <f>ROUNDUP((H89/'Erkrankungs- und Strukturdaten'!$C$34*'Erkrankungs- und Strukturdaten'!$E$36)+(H89/'Erkrankungs- und Strukturdaten'!$C$35),0)</f>
        <v>174</v>
      </c>
      <c r="R89" s="6">
        <f>ROUNDUP((I89*'Erkrankungs- und Strukturdaten'!$C$40/'Erkrankungs- und Strukturdaten'!$C$38*'Erkrankungs- und Strukturdaten'!$E$39)+(I89*(1-'Erkrankungs- und Strukturdaten'!$C$40)/'Erkrankungs- und Strukturdaten'!$C$37*'Erkrankungs- und Strukturdaten'!$E$39),0)</f>
        <v>59</v>
      </c>
      <c r="S89" s="52"/>
      <c r="U89" s="44">
        <f>((H89/'Erkrankungs- und Strukturdaten'!$C$25)*'Erkrankungs- und Strukturdaten'!$E$27*'Erkrankungs- und Strukturdaten'!$F$27)+(H89/'Erkrankungs- und Strukturdaten'!$C$26*'Erkrankungs- und Strukturdaten'!$G$27)</f>
        <v>8888.1333333333332</v>
      </c>
      <c r="V89" s="44">
        <f>(I89/'Erkrankungs- und Strukturdaten'!$C$28*'Erkrankungs- und Strukturdaten'!$E$30*'Erkrankungs- und Strukturdaten'!$F$30)+(I89/'Erkrankungs- und Strukturdaten'!$C$29*'Erkrankungs- und Strukturdaten'!$G$30)</f>
        <v>3798.1942857142858</v>
      </c>
      <c r="AB89" s="2">
        <f t="shared" si="3"/>
        <v>44324</v>
      </c>
    </row>
    <row r="90" spans="1:28" ht="15" x14ac:dyDescent="0.2">
      <c r="A90" s="42">
        <v>81</v>
      </c>
      <c r="B90" s="371"/>
      <c r="C90" s="28">
        <f t="shared" si="4"/>
        <v>44325</v>
      </c>
      <c r="D90" s="5">
        <f>SUMIF('Fallzahlen (Berechnung)'!D:D,"&lt;="&amp;Prognoseergebnis!C90,'Fallzahlen (Berechnung)'!E:E)-'Fallzahlen (Berechnung)'!$E$1</f>
        <v>688340.84483026934</v>
      </c>
      <c r="E90" s="115">
        <f>VLOOKUP(C90,'Fallzahlen (Berechnung)'!$D:$E,'Fallzahlen (Berechnung)'!$E$1,FALSE)</f>
        <v>1566.5139183745873</v>
      </c>
      <c r="G90" s="18">
        <v>81</v>
      </c>
      <c r="H90" s="5">
        <f>ROUND('Erkrankungs- und Strukturdaten'!$C$8*D90-IF(G90&gt;'Erkrankungs- und Strukturdaten'!$C$14,VLOOKUP(Prognoseergebnis!G90-ROUNDDOWN('Erkrankungs- und Strukturdaten'!$C$14,0),$A:$D,$D$6,FALSE)*'Erkrankungs- und Strukturdaten'!$C$8,0)
+IF(G90&gt;'Erkrankungs- und Strukturdaten'!$C$15,VLOOKUP(Prognoseergebnis!G90-ROUNDDOWN('Erkrankungs- und Strukturdaten'!$C$15,0),A:D,$D$6,FALSE)*'Erkrankungs- und Strukturdaten'!$C$9,0)
-IF(G90&gt;'Erkrankungs- und Strukturdaten'!$C$15+'Erkrankungs- und Strukturdaten'!$C$16,VLOOKUP(Prognoseergebnis!G90-ROUNDDOWN('Erkrankungs- und Strukturdaten'!$C$15-'Erkrankungs- und Strukturdaten'!$C$16,0),A:D,$D$6,FALSE)*'Erkrankungs- und Strukturdaten'!$C$9,0),0)</f>
        <v>2499</v>
      </c>
      <c r="I90" s="5">
        <f>ROUND('Erkrankungs- und Strukturdaten'!$C$9*D90-IF(G90&gt;'Erkrankungs- und Strukturdaten'!$C$15,VLOOKUP(Prognoseergebnis!G90-'Erkrankungs- und Strukturdaten'!$C$15,$A:$D,$D$6,FALSE)*'Erkrankungs- und Strukturdaten'!$C$9,0),0)</f>
        <v>425</v>
      </c>
      <c r="J90" s="5">
        <f>I90*'Erkrankungs- und Strukturdaten'!$C$10/'Erkrankungs- und Strukturdaten'!$C$9</f>
        <v>208.25</v>
      </c>
      <c r="K90" s="5">
        <f>I90*'Erkrankungs- und Strukturdaten'!$C$21</f>
        <v>8500</v>
      </c>
      <c r="L90" s="11"/>
      <c r="M90" s="82">
        <f>SUM($K$66:K90)</f>
        <v>191780</v>
      </c>
      <c r="N90" s="9"/>
      <c r="O90" s="5">
        <f>IF(AND(((H90/'Erkrankungs- und Strukturdaten'!$C$25)*'Erkrankungs- und Strukturdaten'!$E$27)+(H90/'Erkrankungs- und Strukturdaten'!$C$26)&lt;1,((H90/'Erkrankungs- und Strukturdaten'!$C$25)*'Erkrankungs- und Strukturdaten'!$E$27)+(H90/'Erkrankungs- und Strukturdaten'!$C$26)&gt;0),1,((H90/'Erkrankungs- und Strukturdaten'!$C$25)*'Erkrankungs- und Strukturdaten'!$E$27)+(H90/'Erkrankungs- und Strukturdaten'!$C$26))</f>
        <v>1082.9000000000001</v>
      </c>
      <c r="P90" s="5">
        <f>ROUNDUP(((I90/'Erkrankungs- und Strukturdaten'!$C$28)*'Erkrankungs- und Strukturdaten'!$E$30)+(I90/'Erkrankungs- und Strukturdaten'!$C$29),0)</f>
        <v>462</v>
      </c>
      <c r="Q90" s="5">
        <f>ROUNDUP((H90/'Erkrankungs- und Strukturdaten'!$C$34*'Erkrankungs- und Strukturdaten'!$E$36)+(H90/'Erkrankungs- und Strukturdaten'!$C$35),0)</f>
        <v>174</v>
      </c>
      <c r="R90" s="5">
        <f>ROUNDUP((I90*'Erkrankungs- und Strukturdaten'!$C$40/'Erkrankungs- und Strukturdaten'!$C$38*'Erkrankungs- und Strukturdaten'!$E$39)+(I90*(1-'Erkrankungs- und Strukturdaten'!$C$40)/'Erkrankungs- und Strukturdaten'!$C$37*'Erkrankungs- und Strukturdaten'!$E$39),0)</f>
        <v>59</v>
      </c>
      <c r="S90" s="52"/>
      <c r="U90" s="44">
        <f>((H90/'Erkrankungs- und Strukturdaten'!$C$25)*'Erkrankungs- und Strukturdaten'!$E$27*'Erkrankungs- und Strukturdaten'!$F$27)+(H90/'Erkrankungs- und Strukturdaten'!$C$26*'Erkrankungs- und Strukturdaten'!$G$27)</f>
        <v>8913.1</v>
      </c>
      <c r="V90" s="44">
        <f>(I90/'Erkrankungs- und Strukturdaten'!$C$28*'Erkrankungs- und Strukturdaten'!$E$30*'Erkrankungs- und Strukturdaten'!$F$30)+(I90/'Erkrankungs- und Strukturdaten'!$C$29*'Erkrankungs- und Strukturdaten'!$G$30)</f>
        <v>3771.5714285714284</v>
      </c>
      <c r="AB90" s="2">
        <f t="shared" si="3"/>
        <v>44325</v>
      </c>
    </row>
    <row r="91" spans="1:28" ht="15" x14ac:dyDescent="0.2">
      <c r="A91" s="42">
        <v>82</v>
      </c>
      <c r="B91" s="371"/>
      <c r="C91" s="27">
        <f t="shared" si="4"/>
        <v>44326</v>
      </c>
      <c r="D91" s="6">
        <f>SUMIF('Fallzahlen (Berechnung)'!D:D,"&lt;="&amp;Prognoseergebnis!C91,'Fallzahlen (Berechnung)'!E:E)-'Fallzahlen (Berechnung)'!$E$1</f>
        <v>691832.8757799865</v>
      </c>
      <c r="E91" s="114">
        <f>VLOOKUP(C91,'Fallzahlen (Berechnung)'!$D:$E,'Fallzahlen (Berechnung)'!$E$1,FALSE)</f>
        <v>3492.0309497171243</v>
      </c>
      <c r="G91" s="18">
        <v>82</v>
      </c>
      <c r="H91" s="6">
        <f>ROUND('Erkrankungs- und Strukturdaten'!$C$8*D91-IF(G91&gt;'Erkrankungs- und Strukturdaten'!$C$14,VLOOKUP(Prognoseergebnis!G91-ROUNDDOWN('Erkrankungs- und Strukturdaten'!$C$14,0),$A:$D,$D$6,FALSE)*'Erkrankungs- und Strukturdaten'!$C$8,0)
+IF(G91&gt;'Erkrankungs- und Strukturdaten'!$C$15,VLOOKUP(Prognoseergebnis!G91-ROUNDDOWN('Erkrankungs- und Strukturdaten'!$C$15,0),A:D,$D$6,FALSE)*'Erkrankungs- und Strukturdaten'!$C$9,0)
-IF(G91&gt;'Erkrankungs- und Strukturdaten'!$C$15+'Erkrankungs- und Strukturdaten'!$C$16,VLOOKUP(Prognoseergebnis!G91-ROUNDDOWN('Erkrankungs- und Strukturdaten'!$C$15-'Erkrankungs- und Strukturdaten'!$C$16,0),A:D,$D$6,FALSE)*'Erkrankungs- und Strukturdaten'!$C$9,0),0)</f>
        <v>2530</v>
      </c>
      <c r="I91" s="6">
        <f>ROUND('Erkrankungs- und Strukturdaten'!$C$9*D91-IF(G91&gt;'Erkrankungs- und Strukturdaten'!$C$15,VLOOKUP(Prognoseergebnis!G91-'Erkrankungs- und Strukturdaten'!$C$15,$A:$D,$D$6,FALSE)*'Erkrankungs- und Strukturdaten'!$C$9,0),0)</f>
        <v>449</v>
      </c>
      <c r="J91" s="6">
        <f>I91*'Erkrankungs- und Strukturdaten'!$C$10/'Erkrankungs- und Strukturdaten'!$C$9</f>
        <v>220.01000000000002</v>
      </c>
      <c r="K91" s="6">
        <f>I91*'Erkrankungs- und Strukturdaten'!$C$21</f>
        <v>8980</v>
      </c>
      <c r="L91" s="11"/>
      <c r="M91" s="82">
        <f>SUM($K$66:K91)</f>
        <v>200760</v>
      </c>
      <c r="N91" s="9"/>
      <c r="O91" s="6">
        <f>IF(AND(((H91/'Erkrankungs- und Strukturdaten'!$C$25)*'Erkrankungs- und Strukturdaten'!$E$27)+(H91/'Erkrankungs- und Strukturdaten'!$C$26)&lt;1,((H91/'Erkrankungs- und Strukturdaten'!$C$25)*'Erkrankungs- und Strukturdaten'!$E$27)+(H91/'Erkrankungs- und Strukturdaten'!$C$26)&gt;0),1,((H91/'Erkrankungs- und Strukturdaten'!$C$25)*'Erkrankungs- und Strukturdaten'!$E$27)+(H91/'Erkrankungs- und Strukturdaten'!$C$26))</f>
        <v>1096.3333333333335</v>
      </c>
      <c r="P91" s="6">
        <f>ROUNDUP(((I91/'Erkrankungs- und Strukturdaten'!$C$28)*'Erkrankungs- und Strukturdaten'!$E$30)+(I91/'Erkrankungs- und Strukturdaten'!$C$29),0)</f>
        <v>488</v>
      </c>
      <c r="Q91" s="6">
        <f>ROUNDUP((H91/'Erkrankungs- und Strukturdaten'!$C$34*'Erkrankungs- und Strukturdaten'!$E$36)+(H91/'Erkrankungs- und Strukturdaten'!$C$35),0)</f>
        <v>176</v>
      </c>
      <c r="R91" s="6">
        <f>ROUNDUP((I91*'Erkrankungs- und Strukturdaten'!$C$40/'Erkrankungs- und Strukturdaten'!$C$38*'Erkrankungs- und Strukturdaten'!$E$39)+(I91*(1-'Erkrankungs- und Strukturdaten'!$C$40)/'Erkrankungs- und Strukturdaten'!$C$37*'Erkrankungs- und Strukturdaten'!$E$39),0)</f>
        <v>62</v>
      </c>
      <c r="S91" s="52"/>
      <c r="U91" s="44">
        <f>((H91/'Erkrankungs- und Strukturdaten'!$C$25)*'Erkrankungs- und Strukturdaten'!$E$27*'Erkrankungs- und Strukturdaten'!$F$27)+(H91/'Erkrankungs- und Strukturdaten'!$C$26*'Erkrankungs- und Strukturdaten'!$G$27)</f>
        <v>9023.6666666666679</v>
      </c>
      <c r="V91" s="44">
        <f>(I91/'Erkrankungs- und Strukturdaten'!$C$28*'Erkrankungs- und Strukturdaten'!$E$30*'Erkrankungs- und Strukturdaten'!$F$30)+(I91/'Erkrankungs- und Strukturdaten'!$C$29*'Erkrankungs- und Strukturdaten'!$G$30)</f>
        <v>3984.5542857142855</v>
      </c>
      <c r="AB91" s="2">
        <f t="shared" si="3"/>
        <v>44326</v>
      </c>
    </row>
    <row r="92" spans="1:28" ht="15" x14ac:dyDescent="0.2">
      <c r="A92" s="42">
        <v>83</v>
      </c>
      <c r="B92" s="371"/>
      <c r="C92" s="28">
        <f t="shared" si="4"/>
        <v>44327</v>
      </c>
      <c r="D92" s="5">
        <f>SUMIF('Fallzahlen (Berechnung)'!D:D,"&lt;="&amp;Prognoseergebnis!C92,'Fallzahlen (Berechnung)'!E:E)-'Fallzahlen (Berechnung)'!$E$1</f>
        <v>695462.09736399632</v>
      </c>
      <c r="E92" s="115">
        <f>VLOOKUP(C92,'Fallzahlen (Berechnung)'!$D:$E,'Fallzahlen (Berechnung)'!$E$1,FALSE)</f>
        <v>3629.2215840098456</v>
      </c>
      <c r="G92" s="18">
        <v>83</v>
      </c>
      <c r="H92" s="5">
        <f>ROUND('Erkrankungs- und Strukturdaten'!$C$8*D92-IF(G92&gt;'Erkrankungs- und Strukturdaten'!$C$14,VLOOKUP(Prognoseergebnis!G92-ROUNDDOWN('Erkrankungs- und Strukturdaten'!$C$14,0),$A:$D,$D$6,FALSE)*'Erkrankungs- und Strukturdaten'!$C$8,0)
+IF(G92&gt;'Erkrankungs- und Strukturdaten'!$C$15,VLOOKUP(Prognoseergebnis!G92-ROUNDDOWN('Erkrankungs- und Strukturdaten'!$C$15,0),A:D,$D$6,FALSE)*'Erkrankungs- und Strukturdaten'!$C$9,0)
-IF(G92&gt;'Erkrankungs- und Strukturdaten'!$C$15+'Erkrankungs- und Strukturdaten'!$C$16,VLOOKUP(Prognoseergebnis!G92-ROUNDDOWN('Erkrankungs- und Strukturdaten'!$C$15-'Erkrankungs- und Strukturdaten'!$C$16,0),A:D,$D$6,FALSE)*'Erkrankungs- und Strukturdaten'!$C$9,0),0)</f>
        <v>2581</v>
      </c>
      <c r="I92" s="5">
        <f>ROUND('Erkrankungs- und Strukturdaten'!$C$9*D92-IF(G92&gt;'Erkrankungs- und Strukturdaten'!$C$15,VLOOKUP(Prognoseergebnis!G92-'Erkrankungs- und Strukturdaten'!$C$15,$A:$D,$D$6,FALSE)*'Erkrankungs- und Strukturdaten'!$C$9,0),0)</f>
        <v>458</v>
      </c>
      <c r="J92" s="5">
        <f>I92*'Erkrankungs- und Strukturdaten'!$C$10/'Erkrankungs- und Strukturdaten'!$C$9</f>
        <v>224.42</v>
      </c>
      <c r="K92" s="5">
        <f>I92*'Erkrankungs- und Strukturdaten'!$C$21</f>
        <v>9160</v>
      </c>
      <c r="L92" s="11"/>
      <c r="M92" s="82">
        <f>SUM($K$66:K92)</f>
        <v>209920</v>
      </c>
      <c r="N92" s="9"/>
      <c r="O92" s="5">
        <f>IF(AND(((H92/'Erkrankungs- und Strukturdaten'!$C$25)*'Erkrankungs- und Strukturdaten'!$E$27)+(H92/'Erkrankungs- und Strukturdaten'!$C$26)&lt;1,((H92/'Erkrankungs- und Strukturdaten'!$C$25)*'Erkrankungs- und Strukturdaten'!$E$27)+(H92/'Erkrankungs- und Strukturdaten'!$C$26)&gt;0),1,((H92/'Erkrankungs- und Strukturdaten'!$C$25)*'Erkrankungs- und Strukturdaten'!$E$27)+(H92/'Erkrankungs- und Strukturdaten'!$C$26))</f>
        <v>1118.4333333333334</v>
      </c>
      <c r="P92" s="5">
        <f>ROUNDUP(((I92/'Erkrankungs- und Strukturdaten'!$C$28)*'Erkrankungs- und Strukturdaten'!$E$30)+(I92/'Erkrankungs- und Strukturdaten'!$C$29),0)</f>
        <v>498</v>
      </c>
      <c r="Q92" s="5">
        <f>ROUNDUP((H92/'Erkrankungs- und Strukturdaten'!$C$34*'Erkrankungs- und Strukturdaten'!$E$36)+(H92/'Erkrankungs- und Strukturdaten'!$C$35),0)</f>
        <v>180</v>
      </c>
      <c r="R92" s="5">
        <f>ROUNDUP((I92*'Erkrankungs- und Strukturdaten'!$C$40/'Erkrankungs- und Strukturdaten'!$C$38*'Erkrankungs- und Strukturdaten'!$E$39)+(I92*(1-'Erkrankungs- und Strukturdaten'!$C$40)/'Erkrankungs- und Strukturdaten'!$C$37*'Erkrankungs- und Strukturdaten'!$E$39),0)</f>
        <v>63</v>
      </c>
      <c r="S92" s="52"/>
      <c r="U92" s="44">
        <f>((H92/'Erkrankungs- und Strukturdaten'!$C$25)*'Erkrankungs- und Strukturdaten'!$E$27*'Erkrankungs- und Strukturdaten'!$F$27)+(H92/'Erkrankungs- und Strukturdaten'!$C$26*'Erkrankungs- und Strukturdaten'!$G$27)</f>
        <v>9205.5666666666675</v>
      </c>
      <c r="V92" s="44">
        <f>(I92/'Erkrankungs- und Strukturdaten'!$C$28*'Erkrankungs- und Strukturdaten'!$E$30*'Erkrankungs- und Strukturdaten'!$F$30)+(I92/'Erkrankungs- und Strukturdaten'!$C$29*'Erkrankungs- und Strukturdaten'!$G$30)</f>
        <v>4064.4228571428566</v>
      </c>
      <c r="AB92" s="2">
        <f t="shared" si="3"/>
        <v>44327</v>
      </c>
    </row>
    <row r="93" spans="1:28" ht="15" x14ac:dyDescent="0.2">
      <c r="A93" s="42">
        <v>84</v>
      </c>
      <c r="B93" s="371"/>
      <c r="C93" s="73">
        <f t="shared" si="4"/>
        <v>44328</v>
      </c>
      <c r="D93" s="74">
        <f>SUMIF('Fallzahlen (Berechnung)'!D:D,"&lt;="&amp;Prognoseergebnis!C93,'Fallzahlen (Berechnung)'!E:E)-'Fallzahlen (Berechnung)'!$E$1</f>
        <v>698786.81683227979</v>
      </c>
      <c r="E93" s="119">
        <f>VLOOKUP(C93,'Fallzahlen (Berechnung)'!$D:$E,'Fallzahlen (Berechnung)'!$E$1,FALSE)</f>
        <v>3324.7194682835047</v>
      </c>
      <c r="G93" s="18">
        <v>84</v>
      </c>
      <c r="H93" s="74">
        <f>ROUND('Erkrankungs- und Strukturdaten'!$C$8*D93-IF(G93&gt;'Erkrankungs- und Strukturdaten'!$C$14,VLOOKUP(Prognoseergebnis!G93-ROUNDDOWN('Erkrankungs- und Strukturdaten'!$C$14,0),$A:$D,$D$6,FALSE)*'Erkrankungs- und Strukturdaten'!$C$8,0)
+IF(G93&gt;'Erkrankungs- und Strukturdaten'!$C$15,VLOOKUP(Prognoseergebnis!G93-ROUNDDOWN('Erkrankungs- und Strukturdaten'!$C$15,0),A:D,$D$6,FALSE)*'Erkrankungs- und Strukturdaten'!$C$9,0)
-IF(G93&gt;'Erkrankungs- und Strukturdaten'!$C$15+'Erkrankungs- und Strukturdaten'!$C$16,VLOOKUP(Prognoseergebnis!G93-ROUNDDOWN('Erkrankungs- und Strukturdaten'!$C$15-'Erkrankungs- und Strukturdaten'!$C$16,0),A:D,$D$6,FALSE)*'Erkrankungs- und Strukturdaten'!$C$9,0),0)</f>
        <v>2614</v>
      </c>
      <c r="I93" s="74">
        <f>ROUND('Erkrankungs- und Strukturdaten'!$C$9*D93-IF(G93&gt;'Erkrankungs- und Strukturdaten'!$C$15,VLOOKUP(Prognoseergebnis!G93-'Erkrankungs- und Strukturdaten'!$C$15,$A:$D,$D$6,FALSE)*'Erkrankungs- und Strukturdaten'!$C$9,0),0)</f>
        <v>461</v>
      </c>
      <c r="J93" s="74">
        <f>I93*'Erkrankungs- und Strukturdaten'!$C$10/'Erkrankungs- und Strukturdaten'!$C$9</f>
        <v>225.89</v>
      </c>
      <c r="K93" s="74">
        <f>I93*'Erkrankungs- und Strukturdaten'!$C$21</f>
        <v>9220</v>
      </c>
      <c r="L93" s="11"/>
      <c r="M93" s="82">
        <f>SUM($K$66:K93)</f>
        <v>219140</v>
      </c>
      <c r="N93" s="9"/>
      <c r="O93" s="74">
        <f>IF(AND(((H93/'Erkrankungs- und Strukturdaten'!$C$25)*'Erkrankungs- und Strukturdaten'!$E$27)+(H93/'Erkrankungs- und Strukturdaten'!$C$26)&lt;1,((H93/'Erkrankungs- und Strukturdaten'!$C$25)*'Erkrankungs- und Strukturdaten'!$E$27)+(H93/'Erkrankungs- und Strukturdaten'!$C$26)&gt;0),1,((H93/'Erkrankungs- und Strukturdaten'!$C$25)*'Erkrankungs- und Strukturdaten'!$E$27)+(H93/'Erkrankungs- und Strukturdaten'!$C$26))</f>
        <v>1132.7333333333333</v>
      </c>
      <c r="P93" s="74">
        <f>ROUNDUP(((I93/'Erkrankungs- und Strukturdaten'!$C$28)*'Erkrankungs- und Strukturdaten'!$E$30)+(I93/'Erkrankungs- und Strukturdaten'!$C$29),0)</f>
        <v>501</v>
      </c>
      <c r="Q93" s="74">
        <f>ROUNDUP((H93/'Erkrankungs- und Strukturdaten'!$C$34*'Erkrankungs- und Strukturdaten'!$E$36)+(H93/'Erkrankungs- und Strukturdaten'!$C$35),0)</f>
        <v>182</v>
      </c>
      <c r="R93" s="74">
        <f>ROUNDUP((I93*'Erkrankungs- und Strukturdaten'!$C$40/'Erkrankungs- und Strukturdaten'!$C$38*'Erkrankungs- und Strukturdaten'!$E$39)+(I93*(1-'Erkrankungs- und Strukturdaten'!$C$40)/'Erkrankungs- und Strukturdaten'!$C$37*'Erkrankungs- und Strukturdaten'!$E$39),0)</f>
        <v>64</v>
      </c>
      <c r="S93" s="52"/>
      <c r="U93" s="44">
        <f>((H93/'Erkrankungs- und Strukturdaten'!$C$25)*'Erkrankungs- und Strukturdaten'!$E$27*'Erkrankungs- und Strukturdaten'!$F$27)+(H93/'Erkrankungs- und Strukturdaten'!$C$26*'Erkrankungs- und Strukturdaten'!$G$27)</f>
        <v>9323.2666666666664</v>
      </c>
      <c r="V93" s="44">
        <f>(I93/'Erkrankungs- und Strukturdaten'!$C$28*'Erkrankungs- und Strukturdaten'!$E$30*'Erkrankungs- und Strukturdaten'!$F$30)+(I93/'Erkrankungs- und Strukturdaten'!$C$29*'Erkrankungs- und Strukturdaten'!$G$30)</f>
        <v>4091.0457142857149</v>
      </c>
      <c r="AB93" s="2">
        <f t="shared" si="3"/>
        <v>44328</v>
      </c>
    </row>
    <row r="94" spans="1:28" ht="14.85" customHeight="1" x14ac:dyDescent="0.2">
      <c r="A94" s="42">
        <v>85</v>
      </c>
      <c r="B94" s="370" t="s">
        <v>34</v>
      </c>
      <c r="C94" s="78">
        <f t="shared" si="4"/>
        <v>44329</v>
      </c>
      <c r="D94" s="4">
        <f>SUMIF('Fallzahlen (Berechnung)'!D:D,"&lt;="&amp;Prognoseergebnis!C94,'Fallzahlen (Berechnung)'!E:E)-'Fallzahlen (Berechnung)'!$E$1</f>
        <v>702148.43531905871</v>
      </c>
      <c r="E94" s="116">
        <f>VLOOKUP(C94,'Fallzahlen (Berechnung)'!$D:$E,'Fallzahlen (Berechnung)'!$E$1,FALSE)</f>
        <v>3361.6184867789261</v>
      </c>
      <c r="G94" s="18">
        <v>85</v>
      </c>
      <c r="H94" s="4">
        <f>ROUND('Erkrankungs- und Strukturdaten'!$C$8*D94-IF(G94&gt;'Erkrankungs- und Strukturdaten'!$C$14,VLOOKUP(Prognoseergebnis!G94-ROUNDDOWN('Erkrankungs- und Strukturdaten'!$C$14,0),$A:$D,$D$6,FALSE)*'Erkrankungs- und Strukturdaten'!$C$8,0)
+IF(G94&gt;'Erkrankungs- und Strukturdaten'!$C$15,VLOOKUP(Prognoseergebnis!G94-ROUNDDOWN('Erkrankungs- und Strukturdaten'!$C$15,0),A:D,$D$6,FALSE)*'Erkrankungs- und Strukturdaten'!$C$9,0)
-IF(G94&gt;'Erkrankungs- und Strukturdaten'!$C$15+'Erkrankungs- und Strukturdaten'!$C$16,VLOOKUP(Prognoseergebnis!G94-ROUNDDOWN('Erkrankungs- und Strukturdaten'!$C$15-'Erkrankungs- und Strukturdaten'!$C$16,0),A:D,$D$6,FALSE)*'Erkrankungs- und Strukturdaten'!$C$9,0),0)</f>
        <v>2651</v>
      </c>
      <c r="I94" s="4">
        <f>ROUND('Erkrankungs- und Strukturdaten'!$C$9*D94-IF(G94&gt;'Erkrankungs- und Strukturdaten'!$C$15,VLOOKUP(Prognoseergebnis!G94-'Erkrankungs- und Strukturdaten'!$C$15,$A:$D,$D$6,FALSE)*'Erkrankungs- und Strukturdaten'!$C$9,0),0)</f>
        <v>466</v>
      </c>
      <c r="J94" s="4">
        <f>I94*'Erkrankungs- und Strukturdaten'!$C$10/'Erkrankungs- und Strukturdaten'!$C$9</f>
        <v>228.33999999999997</v>
      </c>
      <c r="K94" s="4">
        <f>I94*'Erkrankungs- und Strukturdaten'!$C$21</f>
        <v>9320</v>
      </c>
      <c r="L94" s="11"/>
      <c r="M94" s="82">
        <f>SUM($K$66:K94)</f>
        <v>228460</v>
      </c>
      <c r="N94" s="9"/>
      <c r="O94" s="4">
        <f>IF(AND(((H94/'Erkrankungs- und Strukturdaten'!$C$25)*'Erkrankungs- und Strukturdaten'!$E$27)+(H94/'Erkrankungs- und Strukturdaten'!$C$26)&lt;1,((H94/'Erkrankungs- und Strukturdaten'!$C$25)*'Erkrankungs- und Strukturdaten'!$E$27)+(H94/'Erkrankungs- und Strukturdaten'!$C$26)&gt;0),1,((H94/'Erkrankungs- und Strukturdaten'!$C$25)*'Erkrankungs- und Strukturdaten'!$E$27)+(H94/'Erkrankungs- und Strukturdaten'!$C$26))</f>
        <v>1148.7666666666667</v>
      </c>
      <c r="P94" s="4">
        <f>ROUNDUP(((I94/'Erkrankungs- und Strukturdaten'!$C$28)*'Erkrankungs- und Strukturdaten'!$E$30)+(I94/'Erkrankungs- und Strukturdaten'!$C$29),0)</f>
        <v>506</v>
      </c>
      <c r="Q94" s="4">
        <f>ROUNDUP((H94/'Erkrankungs- und Strukturdaten'!$C$34*'Erkrankungs- und Strukturdaten'!$E$36)+(H94/'Erkrankungs- und Strukturdaten'!$C$35),0)</f>
        <v>185</v>
      </c>
      <c r="R94" s="4">
        <f>ROUNDUP((I94*'Erkrankungs- und Strukturdaten'!$C$40/'Erkrankungs- und Strukturdaten'!$C$38*'Erkrankungs- und Strukturdaten'!$E$39)+(I94*(1-'Erkrankungs- und Strukturdaten'!$C$40)/'Erkrankungs- und Strukturdaten'!$C$37*'Erkrankungs- und Strukturdaten'!$E$39),0)</f>
        <v>64</v>
      </c>
      <c r="S94" s="52"/>
      <c r="U94" s="44">
        <f>((H94/'Erkrankungs- und Strukturdaten'!$C$25)*'Erkrankungs- und Strukturdaten'!$E$27*'Erkrankungs- und Strukturdaten'!$F$27)+(H94/'Erkrankungs- und Strukturdaten'!$C$26*'Erkrankungs- und Strukturdaten'!$G$27)</f>
        <v>9455.2333333333336</v>
      </c>
      <c r="V94" s="44">
        <f>(I94/'Erkrankungs- und Strukturdaten'!$C$28*'Erkrankungs- und Strukturdaten'!$E$30*'Erkrankungs- und Strukturdaten'!$F$30)+(I94/'Erkrankungs- und Strukturdaten'!$C$29*'Erkrankungs- und Strukturdaten'!$G$30)</f>
        <v>4135.4171428571426</v>
      </c>
      <c r="AB94" s="2">
        <f t="shared" si="3"/>
        <v>44329</v>
      </c>
    </row>
    <row r="95" spans="1:28" ht="15" x14ac:dyDescent="0.2">
      <c r="A95" s="42">
        <v>86</v>
      </c>
      <c r="B95" s="370"/>
      <c r="C95" s="27">
        <f t="shared" si="4"/>
        <v>44330</v>
      </c>
      <c r="D95" s="6">
        <f>SUMIF('Fallzahlen (Berechnung)'!D:D,"&lt;="&amp;Prognoseergebnis!C95,'Fallzahlen (Berechnung)'!E:E)-'Fallzahlen (Berechnung)'!$E$1</f>
        <v>705108.66401556204</v>
      </c>
      <c r="E95" s="114">
        <f>VLOOKUP(C95,'Fallzahlen (Berechnung)'!$D:$E,'Fallzahlen (Berechnung)'!$E$1,FALSE)</f>
        <v>2960.2286965033795</v>
      </c>
      <c r="G95" s="18">
        <v>86</v>
      </c>
      <c r="H95" s="6">
        <f>ROUND('Erkrankungs- und Strukturdaten'!$C$8*D95-IF(G95&gt;'Erkrankungs- und Strukturdaten'!$C$14,VLOOKUP(Prognoseergebnis!G95-ROUNDDOWN('Erkrankungs- und Strukturdaten'!$C$14,0),$A:$D,$D$6,FALSE)*'Erkrankungs- und Strukturdaten'!$C$8,0)
+IF(G95&gt;'Erkrankungs- und Strukturdaten'!$C$15,VLOOKUP(Prognoseergebnis!G95-ROUNDDOWN('Erkrankungs- und Strukturdaten'!$C$15,0),A:D,$D$6,FALSE)*'Erkrankungs- und Strukturdaten'!$C$9,0)
-IF(G95&gt;'Erkrankungs- und Strukturdaten'!$C$15+'Erkrankungs- und Strukturdaten'!$C$16,VLOOKUP(Prognoseergebnis!G95-ROUNDDOWN('Erkrankungs- und Strukturdaten'!$C$15-'Erkrankungs- und Strukturdaten'!$C$16,0),A:D,$D$6,FALSE)*'Erkrankungs- und Strukturdaten'!$C$9,0),0)</f>
        <v>2683</v>
      </c>
      <c r="I95" s="6">
        <f>ROUND('Erkrankungs- und Strukturdaten'!$C$9*D95-IF(G95&gt;'Erkrankungs- und Strukturdaten'!$C$15,VLOOKUP(Prognoseergebnis!G95-'Erkrankungs- und Strukturdaten'!$C$15,$A:$D,$D$6,FALSE)*'Erkrankungs- und Strukturdaten'!$C$9,0),0)</f>
        <v>467</v>
      </c>
      <c r="J95" s="6">
        <f>I95*'Erkrankungs- und Strukturdaten'!$C$10/'Erkrankungs- und Strukturdaten'!$C$9</f>
        <v>228.82999999999998</v>
      </c>
      <c r="K95" s="6">
        <f>I95*'Erkrankungs- und Strukturdaten'!$C$21</f>
        <v>9340</v>
      </c>
      <c r="L95" s="11"/>
      <c r="M95" s="82">
        <f>SUM($K$66:K95)</f>
        <v>237800</v>
      </c>
      <c r="N95" s="9"/>
      <c r="O95" s="6">
        <f>IF(AND(((H95/'Erkrankungs- und Strukturdaten'!$C$25)*'Erkrankungs- und Strukturdaten'!$E$27)+(H95/'Erkrankungs- und Strukturdaten'!$C$26)&lt;1,((H95/'Erkrankungs- und Strukturdaten'!$C$25)*'Erkrankungs- und Strukturdaten'!$E$27)+(H95/'Erkrankungs- und Strukturdaten'!$C$26)&gt;0),1,((H95/'Erkrankungs- und Strukturdaten'!$C$25)*'Erkrankungs- und Strukturdaten'!$E$27)+(H95/'Erkrankungs- und Strukturdaten'!$C$26))</f>
        <v>1162.6333333333334</v>
      </c>
      <c r="P95" s="6">
        <f>ROUNDUP(((I95/'Erkrankungs- und Strukturdaten'!$C$28)*'Erkrankungs- und Strukturdaten'!$E$30)+(I95/'Erkrankungs- und Strukturdaten'!$C$29),0)</f>
        <v>508</v>
      </c>
      <c r="Q95" s="6">
        <f>ROUNDUP((H95/'Erkrankungs- und Strukturdaten'!$C$34*'Erkrankungs- und Strukturdaten'!$E$36)+(H95/'Erkrankungs- und Strukturdaten'!$C$35),0)</f>
        <v>187</v>
      </c>
      <c r="R95" s="6">
        <f>ROUNDUP((I95*'Erkrankungs- und Strukturdaten'!$C$40/'Erkrankungs- und Strukturdaten'!$C$38*'Erkrankungs- und Strukturdaten'!$E$39)+(I95*(1-'Erkrankungs- und Strukturdaten'!$C$40)/'Erkrankungs- und Strukturdaten'!$C$37*'Erkrankungs- und Strukturdaten'!$E$39),0)</f>
        <v>64</v>
      </c>
      <c r="S95" s="52"/>
      <c r="U95" s="44">
        <f>((H95/'Erkrankungs- und Strukturdaten'!$C$25)*'Erkrankungs- und Strukturdaten'!$E$27*'Erkrankungs- und Strukturdaten'!$F$27)+(H95/'Erkrankungs- und Strukturdaten'!$C$26*'Erkrankungs- und Strukturdaten'!$G$27)</f>
        <v>9569.3666666666668</v>
      </c>
      <c r="V95" s="44">
        <f>(I95/'Erkrankungs- und Strukturdaten'!$C$28*'Erkrankungs- und Strukturdaten'!$E$30*'Erkrankungs- und Strukturdaten'!$F$30)+(I95/'Erkrankungs- und Strukturdaten'!$C$29*'Erkrankungs- und Strukturdaten'!$G$30)</f>
        <v>4144.2914285714287</v>
      </c>
      <c r="AB95" s="2">
        <f t="shared" si="3"/>
        <v>44330</v>
      </c>
    </row>
    <row r="96" spans="1:28" ht="15" x14ac:dyDescent="0.2">
      <c r="A96" s="42">
        <v>87</v>
      </c>
      <c r="B96" s="370"/>
      <c r="C96" s="28">
        <f t="shared" si="4"/>
        <v>44331</v>
      </c>
      <c r="D96" s="5">
        <f>SUMIF('Fallzahlen (Berechnung)'!D:D,"&lt;="&amp;Prognoseergebnis!C96,'Fallzahlen (Berechnung)'!E:E)-'Fallzahlen (Berechnung)'!$E$1</f>
        <v>707330.51229731005</v>
      </c>
      <c r="E96" s="115">
        <f>VLOOKUP(C96,'Fallzahlen (Berechnung)'!$D:$E,'Fallzahlen (Berechnung)'!$E$1,FALSE)</f>
        <v>2221.8482817479758</v>
      </c>
      <c r="G96" s="18">
        <v>87</v>
      </c>
      <c r="H96" s="5">
        <f>ROUND('Erkrankungs- und Strukturdaten'!$C$8*D96-IF(G96&gt;'Erkrankungs- und Strukturdaten'!$C$14,VLOOKUP(Prognoseergebnis!G96-ROUNDDOWN('Erkrankungs- und Strukturdaten'!$C$14,0),$A:$D,$D$6,FALSE)*'Erkrankungs- und Strukturdaten'!$C$8,0)
+IF(G96&gt;'Erkrankungs- und Strukturdaten'!$C$15,VLOOKUP(Prognoseergebnis!G96-ROUNDDOWN('Erkrankungs- und Strukturdaten'!$C$15,0),A:D,$D$6,FALSE)*'Erkrankungs- und Strukturdaten'!$C$9,0)
-IF(G96&gt;'Erkrankungs- und Strukturdaten'!$C$15+'Erkrankungs- und Strukturdaten'!$C$16,VLOOKUP(Prognoseergebnis!G96-ROUNDDOWN('Erkrankungs- und Strukturdaten'!$C$15-'Erkrankungs- und Strukturdaten'!$C$16,0),A:D,$D$6,FALSE)*'Erkrankungs- und Strukturdaten'!$C$9,0),0)</f>
        <v>2698</v>
      </c>
      <c r="I96" s="5">
        <f>ROUND('Erkrankungs- und Strukturdaten'!$C$9*D96-IF(G96&gt;'Erkrankungs- und Strukturdaten'!$C$15,VLOOKUP(Prognoseergebnis!G96-'Erkrankungs- und Strukturdaten'!$C$15,$A:$D,$D$6,FALSE)*'Erkrankungs- und Strukturdaten'!$C$9,0),0)</f>
        <v>464</v>
      </c>
      <c r="J96" s="5">
        <f>I96*'Erkrankungs- und Strukturdaten'!$C$10/'Erkrankungs- und Strukturdaten'!$C$9</f>
        <v>227.35999999999999</v>
      </c>
      <c r="K96" s="5">
        <f>I96*'Erkrankungs- und Strukturdaten'!$C$21</f>
        <v>9280</v>
      </c>
      <c r="L96" s="11"/>
      <c r="M96" s="82">
        <f>SUM($K$66:K96)</f>
        <v>247080</v>
      </c>
      <c r="N96" s="9"/>
      <c r="O96" s="5">
        <f>IF(AND(((H96/'Erkrankungs- und Strukturdaten'!$C$25)*'Erkrankungs- und Strukturdaten'!$E$27)+(H96/'Erkrankungs- und Strukturdaten'!$C$26)&lt;1,((H96/'Erkrankungs- und Strukturdaten'!$C$25)*'Erkrankungs- und Strukturdaten'!$E$27)+(H96/'Erkrankungs- und Strukturdaten'!$C$26)&gt;0),1,((H96/'Erkrankungs- und Strukturdaten'!$C$25)*'Erkrankungs- und Strukturdaten'!$E$27)+(H96/'Erkrankungs- und Strukturdaten'!$C$26))</f>
        <v>1169.1333333333334</v>
      </c>
      <c r="P96" s="5">
        <f>ROUNDUP(((I96/'Erkrankungs- und Strukturdaten'!$C$28)*'Erkrankungs- und Strukturdaten'!$E$30)+(I96/'Erkrankungs- und Strukturdaten'!$C$29),0)</f>
        <v>504</v>
      </c>
      <c r="Q96" s="5">
        <f>ROUNDUP((H96/'Erkrankungs- und Strukturdaten'!$C$34*'Erkrankungs- und Strukturdaten'!$E$36)+(H96/'Erkrankungs- und Strukturdaten'!$C$35),0)</f>
        <v>188</v>
      </c>
      <c r="R96" s="5">
        <f>ROUNDUP((I96*'Erkrankungs- und Strukturdaten'!$C$40/'Erkrankungs- und Strukturdaten'!$C$38*'Erkrankungs- und Strukturdaten'!$E$39)+(I96*(1-'Erkrankungs- und Strukturdaten'!$C$40)/'Erkrankungs- und Strukturdaten'!$C$37*'Erkrankungs- und Strukturdaten'!$E$39),0)</f>
        <v>64</v>
      </c>
      <c r="S96" s="52"/>
      <c r="U96" s="44">
        <f>((H96/'Erkrankungs- und Strukturdaten'!$C$25)*'Erkrankungs- und Strukturdaten'!$E$27*'Erkrankungs- und Strukturdaten'!$F$27)+(H96/'Erkrankungs- und Strukturdaten'!$C$26*'Erkrankungs- und Strukturdaten'!$G$27)</f>
        <v>9622.8666666666668</v>
      </c>
      <c r="V96" s="44">
        <f>(I96/'Erkrankungs- und Strukturdaten'!$C$28*'Erkrankungs- und Strukturdaten'!$E$30*'Erkrankungs- und Strukturdaten'!$F$30)+(I96/'Erkrankungs- und Strukturdaten'!$C$29*'Erkrankungs- und Strukturdaten'!$G$30)</f>
        <v>4117.6685714285713</v>
      </c>
      <c r="AB96" s="2">
        <f t="shared" si="3"/>
        <v>44331</v>
      </c>
    </row>
    <row r="97" spans="1:28" ht="15" x14ac:dyDescent="0.2">
      <c r="A97" s="42">
        <v>88</v>
      </c>
      <c r="B97" s="370"/>
      <c r="C97" s="27">
        <f t="shared" si="4"/>
        <v>44332</v>
      </c>
      <c r="D97" s="6">
        <f>SUMIF('Fallzahlen (Berechnung)'!D:D,"&lt;="&amp;Prognoseergebnis!C97,'Fallzahlen (Berechnung)'!E:E)-'Fallzahlen (Berechnung)'!$E$1</f>
        <v>709009.17514893808</v>
      </c>
      <c r="E97" s="114">
        <f>VLOOKUP(C97,'Fallzahlen (Berechnung)'!$D:$E,'Fallzahlen (Berechnung)'!$E$1,FALSE)</f>
        <v>1678.6628516280066</v>
      </c>
      <c r="G97" s="18">
        <v>88</v>
      </c>
      <c r="H97" s="6">
        <f>ROUND('Erkrankungs- und Strukturdaten'!$C$8*D97-IF(G97&gt;'Erkrankungs- und Strukturdaten'!$C$14,VLOOKUP(Prognoseergebnis!G97-ROUNDDOWN('Erkrankungs- und Strukturdaten'!$C$14,0),$A:$D,$D$6,FALSE)*'Erkrankungs- und Strukturdaten'!$C$8,0)
+IF(G97&gt;'Erkrankungs- und Strukturdaten'!$C$15,VLOOKUP(Prognoseergebnis!G97-ROUNDDOWN('Erkrankungs- und Strukturdaten'!$C$15,0),A:D,$D$6,FALSE)*'Erkrankungs- und Strukturdaten'!$C$9,0)
-IF(G97&gt;'Erkrankungs- und Strukturdaten'!$C$15+'Erkrankungs- und Strukturdaten'!$C$16,VLOOKUP(Prognoseergebnis!G97-ROUNDDOWN('Erkrankungs- und Strukturdaten'!$C$15-'Erkrankungs- und Strukturdaten'!$C$16,0),A:D,$D$6,FALSE)*'Erkrankungs- und Strukturdaten'!$C$9,0),0)</f>
        <v>2704</v>
      </c>
      <c r="I97" s="6">
        <f>ROUND('Erkrankungs- und Strukturdaten'!$C$9*D97-IF(G97&gt;'Erkrankungs- und Strukturdaten'!$C$15,VLOOKUP(Prognoseergebnis!G97-'Erkrankungs- und Strukturdaten'!$C$15,$A:$D,$D$6,FALSE)*'Erkrankungs- und Strukturdaten'!$C$9,0),0)</f>
        <v>462</v>
      </c>
      <c r="J97" s="6">
        <f>I97*'Erkrankungs- und Strukturdaten'!$C$10/'Erkrankungs- und Strukturdaten'!$C$9</f>
        <v>226.38</v>
      </c>
      <c r="K97" s="6">
        <f>I97*'Erkrankungs- und Strukturdaten'!$C$21</f>
        <v>9240</v>
      </c>
      <c r="L97" s="11"/>
      <c r="M97" s="82">
        <f>SUM($K$66:K97)</f>
        <v>256320</v>
      </c>
      <c r="N97" s="9"/>
      <c r="O97" s="6">
        <f>IF(AND(((H97/'Erkrankungs- und Strukturdaten'!$C$25)*'Erkrankungs- und Strukturdaten'!$E$27)+(H97/'Erkrankungs- und Strukturdaten'!$C$26)&lt;1,((H97/'Erkrankungs- und Strukturdaten'!$C$25)*'Erkrankungs- und Strukturdaten'!$E$27)+(H97/'Erkrankungs- und Strukturdaten'!$C$26)&gt;0),1,((H97/'Erkrankungs- und Strukturdaten'!$C$25)*'Erkrankungs- und Strukturdaten'!$E$27)+(H97/'Erkrankungs- und Strukturdaten'!$C$26))</f>
        <v>1171.7333333333333</v>
      </c>
      <c r="P97" s="6">
        <f>ROUNDUP(((I97/'Erkrankungs- und Strukturdaten'!$C$28)*'Erkrankungs- und Strukturdaten'!$E$30)+(I97/'Erkrankungs- und Strukturdaten'!$C$29),0)</f>
        <v>502</v>
      </c>
      <c r="Q97" s="6">
        <f>ROUNDUP((H97/'Erkrankungs- und Strukturdaten'!$C$34*'Erkrankungs- und Strukturdaten'!$E$36)+(H97/'Erkrankungs- und Strukturdaten'!$C$35),0)</f>
        <v>188</v>
      </c>
      <c r="R97" s="6">
        <f>ROUNDUP((I97*'Erkrankungs- und Strukturdaten'!$C$40/'Erkrankungs- und Strukturdaten'!$C$38*'Erkrankungs- und Strukturdaten'!$E$39)+(I97*(1-'Erkrankungs- und Strukturdaten'!$C$40)/'Erkrankungs- und Strukturdaten'!$C$37*'Erkrankungs- und Strukturdaten'!$E$39),0)</f>
        <v>64</v>
      </c>
      <c r="S97" s="52"/>
      <c r="U97" s="44">
        <f>((H97/'Erkrankungs- und Strukturdaten'!$C$25)*'Erkrankungs- und Strukturdaten'!$E$27*'Erkrankungs- und Strukturdaten'!$F$27)+(H97/'Erkrankungs- und Strukturdaten'!$C$26*'Erkrankungs- und Strukturdaten'!$G$27)</f>
        <v>9644.2666666666664</v>
      </c>
      <c r="V97" s="44">
        <f>(I97/'Erkrankungs- und Strukturdaten'!$C$28*'Erkrankungs- und Strukturdaten'!$E$30*'Erkrankungs- und Strukturdaten'!$F$30)+(I97/'Erkrankungs- und Strukturdaten'!$C$29*'Erkrankungs- und Strukturdaten'!$G$30)</f>
        <v>4099.92</v>
      </c>
      <c r="AB97" s="2">
        <f t="shared" si="3"/>
        <v>44332</v>
      </c>
    </row>
    <row r="98" spans="1:28" ht="15" x14ac:dyDescent="0.2">
      <c r="A98" s="42">
        <v>89</v>
      </c>
      <c r="B98" s="370"/>
      <c r="C98" s="28">
        <f t="shared" si="4"/>
        <v>44333</v>
      </c>
      <c r="D98" s="5">
        <f>SUMIF('Fallzahlen (Berechnung)'!D:D,"&lt;="&amp;Prognoseergebnis!C98,'Fallzahlen (Berechnung)'!E:E)-'Fallzahlen (Berechnung)'!$E$1</f>
        <v>712778.29389988538</v>
      </c>
      <c r="E98" s="115">
        <f>VLOOKUP(C98,'Fallzahlen (Berechnung)'!$D:$E,'Fallzahlen (Berechnung)'!$E$1,FALSE)</f>
        <v>3769.1187509472766</v>
      </c>
      <c r="G98" s="18">
        <v>89</v>
      </c>
      <c r="H98" s="5">
        <f>ROUND('Erkrankungs- und Strukturdaten'!$C$8*D98-IF(G98&gt;'Erkrankungs- und Strukturdaten'!$C$14,VLOOKUP(Prognoseergebnis!G98-ROUNDDOWN('Erkrankungs- und Strukturdaten'!$C$14,0),$A:$D,$D$6,FALSE)*'Erkrankungs- und Strukturdaten'!$C$8,0)
+IF(G98&gt;'Erkrankungs- und Strukturdaten'!$C$15,VLOOKUP(Prognoseergebnis!G98-ROUNDDOWN('Erkrankungs- und Strukturdaten'!$C$15,0),A:D,$D$6,FALSE)*'Erkrankungs- und Strukturdaten'!$C$9,0)
-IF(G98&gt;'Erkrankungs- und Strukturdaten'!$C$15+'Erkrankungs- und Strukturdaten'!$C$16,VLOOKUP(Prognoseergebnis!G98-ROUNDDOWN('Erkrankungs- und Strukturdaten'!$C$15-'Erkrankungs- und Strukturdaten'!$C$16,0),A:D,$D$6,FALSE)*'Erkrankungs- und Strukturdaten'!$C$9,0),0)</f>
        <v>2736</v>
      </c>
      <c r="I98" s="5">
        <f>ROUND('Erkrankungs- und Strukturdaten'!$C$9*D98-IF(G98&gt;'Erkrankungs- und Strukturdaten'!$C$15,VLOOKUP(Prognoseergebnis!G98-'Erkrankungs- und Strukturdaten'!$C$15,$A:$D,$D$6,FALSE)*'Erkrankungs- und Strukturdaten'!$C$9,0),0)</f>
        <v>488</v>
      </c>
      <c r="J98" s="5">
        <f>I98*'Erkrankungs- und Strukturdaten'!$C$10/'Erkrankungs- und Strukturdaten'!$C$9</f>
        <v>239.12</v>
      </c>
      <c r="K98" s="5">
        <f>I98*'Erkrankungs- und Strukturdaten'!$C$21</f>
        <v>9760</v>
      </c>
      <c r="L98" s="11"/>
      <c r="M98" s="82">
        <f>SUM($K$66:K98)</f>
        <v>266080</v>
      </c>
      <c r="N98" s="9"/>
      <c r="O98" s="5">
        <f>IF(AND(((H98/'Erkrankungs- und Strukturdaten'!$C$25)*'Erkrankungs- und Strukturdaten'!$E$27)+(H98/'Erkrankungs- und Strukturdaten'!$C$26)&lt;1,((H98/'Erkrankungs- und Strukturdaten'!$C$25)*'Erkrankungs- und Strukturdaten'!$E$27)+(H98/'Erkrankungs- und Strukturdaten'!$C$26)&gt;0),1,((H98/'Erkrankungs- und Strukturdaten'!$C$25)*'Erkrankungs- und Strukturdaten'!$E$27)+(H98/'Erkrankungs- und Strukturdaten'!$C$26))</f>
        <v>1185.5999999999999</v>
      </c>
      <c r="P98" s="5">
        <f>ROUNDUP(((I98/'Erkrankungs- und Strukturdaten'!$C$28)*'Erkrankungs- und Strukturdaten'!$E$30)+(I98/'Erkrankungs- und Strukturdaten'!$C$29),0)</f>
        <v>530</v>
      </c>
      <c r="Q98" s="5">
        <f>ROUNDUP((H98/'Erkrankungs- und Strukturdaten'!$C$34*'Erkrankungs- und Strukturdaten'!$E$36)+(H98/'Erkrankungs- und Strukturdaten'!$C$35),0)</f>
        <v>190</v>
      </c>
      <c r="R98" s="5">
        <f>ROUNDUP((I98*'Erkrankungs- und Strukturdaten'!$C$40/'Erkrankungs- und Strukturdaten'!$C$38*'Erkrankungs- und Strukturdaten'!$E$39)+(I98*(1-'Erkrankungs- und Strukturdaten'!$C$40)/'Erkrankungs- und Strukturdaten'!$C$37*'Erkrankungs- und Strukturdaten'!$E$39),0)</f>
        <v>67</v>
      </c>
      <c r="S98" s="52"/>
      <c r="U98" s="44">
        <f>((H98/'Erkrankungs- und Strukturdaten'!$C$25)*'Erkrankungs- und Strukturdaten'!$E$27*'Erkrankungs- und Strukturdaten'!$F$27)+(H98/'Erkrankungs- und Strukturdaten'!$C$26*'Erkrankungs- und Strukturdaten'!$G$27)</f>
        <v>9758.4000000000015</v>
      </c>
      <c r="V98" s="44">
        <f>(I98/'Erkrankungs- und Strukturdaten'!$C$28*'Erkrankungs- und Strukturdaten'!$E$30*'Erkrankungs- und Strukturdaten'!$F$30)+(I98/'Erkrankungs- und Strukturdaten'!$C$29*'Erkrankungs- und Strukturdaten'!$G$30)</f>
        <v>4330.6514285714284</v>
      </c>
      <c r="AB98" s="2">
        <f t="shared" si="3"/>
        <v>44333</v>
      </c>
    </row>
    <row r="99" spans="1:28" ht="15" x14ac:dyDescent="0.2">
      <c r="A99" s="42">
        <v>90</v>
      </c>
      <c r="B99" s="370"/>
      <c r="C99" s="27">
        <f t="shared" si="4"/>
        <v>44334</v>
      </c>
      <c r="D99" s="6">
        <f>SUMIF('Fallzahlen (Berechnung)'!D:D,"&lt;="&amp;Prognoseergebnis!C99,'Fallzahlen (Berechnung)'!E:E)-'Fallzahlen (Berechnung)'!$E$1</f>
        <v>716714.59026600688</v>
      </c>
      <c r="E99" s="114">
        <f>VLOOKUP(C99,'Fallzahlen (Berechnung)'!$D:$E,'Fallzahlen (Berechnung)'!$E$1,FALSE)</f>
        <v>3936.2963661215417</v>
      </c>
      <c r="G99" s="18">
        <v>90</v>
      </c>
      <c r="H99" s="6">
        <f>ROUND('Erkrankungs- und Strukturdaten'!$C$8*D99-IF(G99&gt;'Erkrankungs- und Strukturdaten'!$C$14,VLOOKUP(Prognoseergebnis!G99-ROUNDDOWN('Erkrankungs- und Strukturdaten'!$C$14,0),$A:$D,$D$6,FALSE)*'Erkrankungs- und Strukturdaten'!$C$8,0)
+IF(G99&gt;'Erkrankungs- und Strukturdaten'!$C$15,VLOOKUP(Prognoseergebnis!G99-ROUNDDOWN('Erkrankungs- und Strukturdaten'!$C$15,0),A:D,$D$6,FALSE)*'Erkrankungs- und Strukturdaten'!$C$9,0)
-IF(G99&gt;'Erkrankungs- und Strukturdaten'!$C$15+'Erkrankungs- und Strukturdaten'!$C$16,VLOOKUP(Prognoseergebnis!G99-ROUNDDOWN('Erkrankungs- und Strukturdaten'!$C$15-'Erkrankungs- und Strukturdaten'!$C$16,0),A:D,$D$6,FALSE)*'Erkrankungs- und Strukturdaten'!$C$9,0),0)</f>
        <v>2798</v>
      </c>
      <c r="I99" s="6">
        <f>ROUND('Erkrankungs- und Strukturdaten'!$C$9*D99-IF(G99&gt;'Erkrankungs- und Strukturdaten'!$C$15,VLOOKUP(Prognoseergebnis!G99-'Erkrankungs- und Strukturdaten'!$C$15,$A:$D,$D$6,FALSE)*'Erkrankungs- und Strukturdaten'!$C$9,0),0)</f>
        <v>495</v>
      </c>
      <c r="J99" s="6">
        <f>I99*'Erkrankungs- und Strukturdaten'!$C$10/'Erkrankungs- und Strukturdaten'!$C$9</f>
        <v>242.54999999999998</v>
      </c>
      <c r="K99" s="6">
        <f>I99*'Erkrankungs- und Strukturdaten'!$C$21</f>
        <v>9900</v>
      </c>
      <c r="L99" s="11"/>
      <c r="M99" s="82">
        <f>SUM($K$66:K99)</f>
        <v>275980</v>
      </c>
      <c r="N99" s="9"/>
      <c r="O99" s="6">
        <f>IF(AND(((H99/'Erkrankungs- und Strukturdaten'!$C$25)*'Erkrankungs- und Strukturdaten'!$E$27)+(H99/'Erkrankungs- und Strukturdaten'!$C$26)&lt;1,((H99/'Erkrankungs- und Strukturdaten'!$C$25)*'Erkrankungs- und Strukturdaten'!$E$27)+(H99/'Erkrankungs- und Strukturdaten'!$C$26)&gt;0),1,((H99/'Erkrankungs- und Strukturdaten'!$C$25)*'Erkrankungs- und Strukturdaten'!$E$27)+(H99/'Erkrankungs- und Strukturdaten'!$C$26))</f>
        <v>1212.4666666666667</v>
      </c>
      <c r="P99" s="6">
        <f>ROUNDUP(((I99/'Erkrankungs- und Strukturdaten'!$C$28)*'Erkrankungs- und Strukturdaten'!$E$30)+(I99/'Erkrankungs- und Strukturdaten'!$C$29),0)</f>
        <v>538</v>
      </c>
      <c r="Q99" s="6">
        <f>ROUNDUP((H99/'Erkrankungs- und Strukturdaten'!$C$34*'Erkrankungs- und Strukturdaten'!$E$36)+(H99/'Erkrankungs- und Strukturdaten'!$C$35),0)</f>
        <v>195</v>
      </c>
      <c r="R99" s="6">
        <f>ROUNDUP((I99*'Erkrankungs- und Strukturdaten'!$C$40/'Erkrankungs- und Strukturdaten'!$C$38*'Erkrankungs- und Strukturdaten'!$E$39)+(I99*(1-'Erkrankungs- und Strukturdaten'!$C$40)/'Erkrankungs- und Strukturdaten'!$C$37*'Erkrankungs- und Strukturdaten'!$E$39),0)</f>
        <v>68</v>
      </c>
      <c r="S99" s="52"/>
      <c r="U99" s="44">
        <f>((H99/'Erkrankungs- und Strukturdaten'!$C$25)*'Erkrankungs- und Strukturdaten'!$E$27*'Erkrankungs- und Strukturdaten'!$F$27)+(H99/'Erkrankungs- und Strukturdaten'!$C$26*'Erkrankungs- und Strukturdaten'!$G$27)</f>
        <v>9979.5333333333328</v>
      </c>
      <c r="V99" s="44">
        <f>(I99/'Erkrankungs- und Strukturdaten'!$C$28*'Erkrankungs- und Strukturdaten'!$E$30*'Erkrankungs- und Strukturdaten'!$F$30)+(I99/'Erkrankungs- und Strukturdaten'!$C$29*'Erkrankungs- und Strukturdaten'!$G$30)</f>
        <v>4392.7714285714283</v>
      </c>
      <c r="AB99" s="2">
        <f t="shared" si="3"/>
        <v>44334</v>
      </c>
    </row>
    <row r="100" spans="1:28" ht="15" x14ac:dyDescent="0.2">
      <c r="A100" s="42">
        <v>91</v>
      </c>
      <c r="B100" s="370"/>
      <c r="C100" s="29">
        <f t="shared" si="4"/>
        <v>44335</v>
      </c>
      <c r="D100" s="30">
        <f>SUMIF('Fallzahlen (Berechnung)'!D:D,"&lt;="&amp;Prognoseergebnis!C100,'Fallzahlen (Berechnung)'!E:E)-'Fallzahlen (Berechnung)'!$E$1</f>
        <v>720334.5328155217</v>
      </c>
      <c r="E100" s="117">
        <f>VLOOKUP(C100,'Fallzahlen (Berechnung)'!$D:$E,'Fallzahlen (Berechnung)'!$E$1,FALSE)</f>
        <v>3619.9425495148366</v>
      </c>
      <c r="G100" s="18">
        <v>91</v>
      </c>
      <c r="H100" s="30">
        <f>ROUND('Erkrankungs- und Strukturdaten'!$C$8*D100-IF(G100&gt;'Erkrankungs- und Strukturdaten'!$C$14,VLOOKUP(Prognoseergebnis!G100-ROUNDDOWN('Erkrankungs- und Strukturdaten'!$C$14,0),$A:$D,$D$6,FALSE)*'Erkrankungs- und Strukturdaten'!$C$8,0)
+IF(G100&gt;'Erkrankungs- und Strukturdaten'!$C$15,VLOOKUP(Prognoseergebnis!G100-ROUNDDOWN('Erkrankungs- und Strukturdaten'!$C$15,0),A:D,$D$6,FALSE)*'Erkrankungs- und Strukturdaten'!$C$9,0)
-IF(G100&gt;'Erkrankungs- und Strukturdaten'!$C$15+'Erkrankungs- und Strukturdaten'!$C$16,VLOOKUP(Prognoseergebnis!G100-ROUNDDOWN('Erkrankungs- und Strukturdaten'!$C$15-'Erkrankungs- und Strukturdaten'!$C$16,0),A:D,$D$6,FALSE)*'Erkrankungs- und Strukturdaten'!$C$9,0),0)</f>
        <v>2838</v>
      </c>
      <c r="I100" s="30">
        <f>ROUND('Erkrankungs- und Strukturdaten'!$C$9*D100-IF(G100&gt;'Erkrankungs- und Strukturdaten'!$C$15,VLOOKUP(Prognoseergebnis!G100-'Erkrankungs- und Strukturdaten'!$C$15,$A:$D,$D$6,FALSE)*'Erkrankungs- und Strukturdaten'!$C$9,0),0)</f>
        <v>498</v>
      </c>
      <c r="J100" s="30">
        <f>I100*'Erkrankungs- und Strukturdaten'!$C$10/'Erkrankungs- und Strukturdaten'!$C$9</f>
        <v>244.01999999999998</v>
      </c>
      <c r="K100" s="30">
        <f>I100*'Erkrankungs- und Strukturdaten'!$C$21</f>
        <v>9960</v>
      </c>
      <c r="L100" s="11"/>
      <c r="M100" s="82">
        <f>SUM($K$66:K100)</f>
        <v>285940</v>
      </c>
      <c r="N100" s="9"/>
      <c r="O100" s="30">
        <f>IF(AND(((H100/'Erkrankungs- und Strukturdaten'!$C$25)*'Erkrankungs- und Strukturdaten'!$E$27)+(H100/'Erkrankungs- und Strukturdaten'!$C$26)&lt;1,((H100/'Erkrankungs- und Strukturdaten'!$C$25)*'Erkrankungs- und Strukturdaten'!$E$27)+(H100/'Erkrankungs- und Strukturdaten'!$C$26)&gt;0),1,((H100/'Erkrankungs- und Strukturdaten'!$C$25)*'Erkrankungs- und Strukturdaten'!$E$27)+(H100/'Erkrankungs- und Strukturdaten'!$C$26))</f>
        <v>1229.8</v>
      </c>
      <c r="P100" s="30">
        <f>ROUNDUP(((I100/'Erkrankungs- und Strukturdaten'!$C$28)*'Erkrankungs- und Strukturdaten'!$E$30)+(I100/'Erkrankungs- und Strukturdaten'!$C$29),0)</f>
        <v>541</v>
      </c>
      <c r="Q100" s="30">
        <f>ROUNDUP((H100/'Erkrankungs- und Strukturdaten'!$C$34*'Erkrankungs- und Strukturdaten'!$E$36)+(H100/'Erkrankungs- und Strukturdaten'!$C$35),0)</f>
        <v>198</v>
      </c>
      <c r="R100" s="30">
        <f>ROUNDUP((I100*'Erkrankungs- und Strukturdaten'!$C$40/'Erkrankungs- und Strukturdaten'!$C$38*'Erkrankungs- und Strukturdaten'!$E$39)+(I100*(1-'Erkrankungs- und Strukturdaten'!$C$40)/'Erkrankungs- und Strukturdaten'!$C$37*'Erkrankungs- und Strukturdaten'!$E$39),0)</f>
        <v>69</v>
      </c>
      <c r="S100" s="52"/>
      <c r="U100" s="44">
        <f>((H100/'Erkrankungs- und Strukturdaten'!$C$25)*'Erkrankungs- und Strukturdaten'!$E$27*'Erkrankungs- und Strukturdaten'!$F$27)+(H100/'Erkrankungs- und Strukturdaten'!$C$26*'Erkrankungs- und Strukturdaten'!$G$27)</f>
        <v>10122.200000000001</v>
      </c>
      <c r="V100" s="44">
        <f>(I100/'Erkrankungs- und Strukturdaten'!$C$28*'Erkrankungs- und Strukturdaten'!$E$30*'Erkrankungs- und Strukturdaten'!$F$30)+(I100/'Erkrankungs- und Strukturdaten'!$C$29*'Erkrankungs- und Strukturdaten'!$G$30)</f>
        <v>4419.3942857142856</v>
      </c>
      <c r="AB100" s="2">
        <f t="shared" si="3"/>
        <v>44335</v>
      </c>
    </row>
    <row r="101" spans="1:28" ht="14.85" customHeight="1" x14ac:dyDescent="0.2">
      <c r="A101" s="42">
        <v>92</v>
      </c>
      <c r="B101" s="371" t="s">
        <v>35</v>
      </c>
      <c r="C101" s="76">
        <f t="shared" si="4"/>
        <v>44336</v>
      </c>
      <c r="D101" s="77">
        <f>SUMIF('Fallzahlen (Berechnung)'!D:D,"&lt;="&amp;Prognoseergebnis!C101,'Fallzahlen (Berechnung)'!E:E)-'Fallzahlen (Berechnung)'!$E$1</f>
        <v>723987.802383192</v>
      </c>
      <c r="E101" s="118">
        <f>VLOOKUP(C101,'Fallzahlen (Berechnung)'!$D:$E,'Fallzahlen (Berechnung)'!$E$1,FALSE)</f>
        <v>3653.2695676702956</v>
      </c>
      <c r="G101" s="18">
        <v>92</v>
      </c>
      <c r="H101" s="77">
        <f>ROUND('Erkrankungs- und Strukturdaten'!$C$8*D101-IF(G101&gt;'Erkrankungs- und Strukturdaten'!$C$14,VLOOKUP(Prognoseergebnis!G101-ROUNDDOWN('Erkrankungs- und Strukturdaten'!$C$14,0),$A:$D,$D$6,FALSE)*'Erkrankungs- und Strukturdaten'!$C$8,0)
+IF(G101&gt;'Erkrankungs- und Strukturdaten'!$C$15,VLOOKUP(Prognoseergebnis!G101-ROUNDDOWN('Erkrankungs- und Strukturdaten'!$C$15,0),A:D,$D$6,FALSE)*'Erkrankungs- und Strukturdaten'!$C$9,0)
-IF(G101&gt;'Erkrankungs- und Strukturdaten'!$C$15+'Erkrankungs- und Strukturdaten'!$C$16,VLOOKUP(Prognoseergebnis!G101-ROUNDDOWN('Erkrankungs- und Strukturdaten'!$C$15-'Erkrankungs- und Strukturdaten'!$C$16,0),A:D,$D$6,FALSE)*'Erkrankungs- und Strukturdaten'!$C$9,0),0)</f>
        <v>2872</v>
      </c>
      <c r="I101" s="77">
        <f>ROUND('Erkrankungs- und Strukturdaten'!$C$9*D101-IF(G101&gt;'Erkrankungs- und Strukturdaten'!$C$15,VLOOKUP(Prognoseergebnis!G101-'Erkrankungs- und Strukturdaten'!$C$15,$A:$D,$D$6,FALSE)*'Erkrankungs- und Strukturdaten'!$C$9,0),0)</f>
        <v>505</v>
      </c>
      <c r="J101" s="77">
        <f>I101*'Erkrankungs- und Strukturdaten'!$C$10/'Erkrankungs- und Strukturdaten'!$C$9</f>
        <v>247.45000000000002</v>
      </c>
      <c r="K101" s="77">
        <f>I101*'Erkrankungs- und Strukturdaten'!$C$21</f>
        <v>10100</v>
      </c>
      <c r="L101" s="11"/>
      <c r="M101" s="82">
        <f>SUM($K$66:K101)</f>
        <v>296040</v>
      </c>
      <c r="N101" s="9"/>
      <c r="O101" s="77">
        <f>IF(AND(((H101/'Erkrankungs- und Strukturdaten'!$C$25)*'Erkrankungs- und Strukturdaten'!$E$27)+(H101/'Erkrankungs- und Strukturdaten'!$C$26)&lt;1,((H101/'Erkrankungs- und Strukturdaten'!$C$25)*'Erkrankungs- und Strukturdaten'!$E$27)+(H101/'Erkrankungs- und Strukturdaten'!$C$26)&gt;0),1,((H101/'Erkrankungs- und Strukturdaten'!$C$25)*'Erkrankungs- und Strukturdaten'!$E$27)+(H101/'Erkrankungs- und Strukturdaten'!$C$26))</f>
        <v>1244.5333333333333</v>
      </c>
      <c r="P101" s="77">
        <f>ROUNDUP(((I101/'Erkrankungs- und Strukturdaten'!$C$28)*'Erkrankungs- und Strukturdaten'!$E$30)+(I101/'Erkrankungs- und Strukturdaten'!$C$29),0)</f>
        <v>549</v>
      </c>
      <c r="Q101" s="77">
        <f>ROUNDUP((H101/'Erkrankungs- und Strukturdaten'!$C$34*'Erkrankungs- und Strukturdaten'!$E$36)+(H101/'Erkrankungs- und Strukturdaten'!$C$35),0)</f>
        <v>200</v>
      </c>
      <c r="R101" s="77">
        <f>ROUNDUP((I101*'Erkrankungs- und Strukturdaten'!$C$40/'Erkrankungs- und Strukturdaten'!$C$38*'Erkrankungs- und Strukturdaten'!$E$39)+(I101*(1-'Erkrankungs- und Strukturdaten'!$C$40)/'Erkrankungs- und Strukturdaten'!$C$37*'Erkrankungs- und Strukturdaten'!$E$39),0)</f>
        <v>70</v>
      </c>
      <c r="S101" s="52"/>
      <c r="U101" s="44">
        <f>((H101/'Erkrankungs- und Strukturdaten'!$C$25)*'Erkrankungs- und Strukturdaten'!$E$27*'Erkrankungs- und Strukturdaten'!$F$27)+(H101/'Erkrankungs- und Strukturdaten'!$C$26*'Erkrankungs- und Strukturdaten'!$G$27)</f>
        <v>10243.466666666667</v>
      </c>
      <c r="V101" s="44">
        <f>(I101/'Erkrankungs- und Strukturdaten'!$C$28*'Erkrankungs- und Strukturdaten'!$E$30*'Erkrankungs- und Strukturdaten'!$F$30)+(I101/'Erkrankungs- und Strukturdaten'!$C$29*'Erkrankungs- und Strukturdaten'!$G$30)</f>
        <v>4481.5142857142855</v>
      </c>
      <c r="AB101" s="2">
        <f t="shared" si="3"/>
        <v>44336</v>
      </c>
    </row>
    <row r="102" spans="1:28" ht="15" x14ac:dyDescent="0.2">
      <c r="A102" s="42">
        <v>93</v>
      </c>
      <c r="B102" s="371"/>
      <c r="C102" s="28">
        <f t="shared" si="4"/>
        <v>44337</v>
      </c>
      <c r="D102" s="5">
        <f>SUMIF('Fallzahlen (Berechnung)'!D:D,"&lt;="&amp;Prognoseergebnis!C102,'Fallzahlen (Berechnung)'!E:E)-'Fallzahlen (Berechnung)'!$E$1</f>
        <v>727181.99163863261</v>
      </c>
      <c r="E102" s="115">
        <f>VLOOKUP(C102,'Fallzahlen (Berechnung)'!$D:$E,'Fallzahlen (Berechnung)'!$E$1,FALSE)</f>
        <v>3194.1892554406541</v>
      </c>
      <c r="G102" s="18">
        <v>93</v>
      </c>
      <c r="H102" s="5">
        <f>ROUND('Erkrankungs- und Strukturdaten'!$C$8*D102-IF(G102&gt;'Erkrankungs- und Strukturdaten'!$C$14,VLOOKUP(Prognoseergebnis!G102-ROUNDDOWN('Erkrankungs- und Strukturdaten'!$C$14,0),$A:$D,$D$6,FALSE)*'Erkrankungs- und Strukturdaten'!$C$8,0)
+IF(G102&gt;'Erkrankungs- und Strukturdaten'!$C$15,VLOOKUP(Prognoseergebnis!G102-ROUNDDOWN('Erkrankungs- und Strukturdaten'!$C$15,0),A:D,$D$6,FALSE)*'Erkrankungs- und Strukturdaten'!$C$9,0)
-IF(G102&gt;'Erkrankungs- und Strukturdaten'!$C$15+'Erkrankungs- und Strukturdaten'!$C$16,VLOOKUP(Prognoseergebnis!G102-ROUNDDOWN('Erkrankungs- und Strukturdaten'!$C$15-'Erkrankungs- und Strukturdaten'!$C$16,0),A:D,$D$6,FALSE)*'Erkrankungs- und Strukturdaten'!$C$9,0),0)</f>
        <v>2902</v>
      </c>
      <c r="I102" s="5">
        <f>ROUND('Erkrankungs- und Strukturdaten'!$C$9*D102-IF(G102&gt;'Erkrankungs- und Strukturdaten'!$C$15,VLOOKUP(Prognoseergebnis!G102-'Erkrankungs- und Strukturdaten'!$C$15,$A:$D,$D$6,FALSE)*'Erkrankungs- und Strukturdaten'!$C$9,0),0)</f>
        <v>506</v>
      </c>
      <c r="J102" s="5">
        <f>I102*'Erkrankungs- und Strukturdaten'!$C$10/'Erkrankungs- und Strukturdaten'!$C$9</f>
        <v>247.94</v>
      </c>
      <c r="K102" s="5">
        <f>I102*'Erkrankungs- und Strukturdaten'!$C$21</f>
        <v>10120</v>
      </c>
      <c r="L102" s="11"/>
      <c r="M102" s="82">
        <f>SUM($K$66:K102)</f>
        <v>306160</v>
      </c>
      <c r="N102" s="9"/>
      <c r="O102" s="5">
        <f>IF(AND(((H102/'Erkrankungs- und Strukturdaten'!$C$25)*'Erkrankungs- und Strukturdaten'!$E$27)+(H102/'Erkrankungs- und Strukturdaten'!$C$26)&lt;1,((H102/'Erkrankungs- und Strukturdaten'!$C$25)*'Erkrankungs- und Strukturdaten'!$E$27)+(H102/'Erkrankungs- und Strukturdaten'!$C$26)&gt;0),1,((H102/'Erkrankungs- und Strukturdaten'!$C$25)*'Erkrankungs- und Strukturdaten'!$E$27)+(H102/'Erkrankungs- und Strukturdaten'!$C$26))</f>
        <v>1257.5333333333333</v>
      </c>
      <c r="P102" s="5">
        <f>ROUNDUP(((I102/'Erkrankungs- und Strukturdaten'!$C$28)*'Erkrankungs- und Strukturdaten'!$E$30)+(I102/'Erkrankungs- und Strukturdaten'!$C$29),0)</f>
        <v>550</v>
      </c>
      <c r="Q102" s="5">
        <f>ROUNDUP((H102/'Erkrankungs- und Strukturdaten'!$C$34*'Erkrankungs- und Strukturdaten'!$E$36)+(H102/'Erkrankungs- und Strukturdaten'!$C$35),0)</f>
        <v>202</v>
      </c>
      <c r="R102" s="5">
        <f>ROUNDUP((I102*'Erkrankungs- und Strukturdaten'!$C$40/'Erkrankungs- und Strukturdaten'!$C$38*'Erkrankungs- und Strukturdaten'!$E$39)+(I102*(1-'Erkrankungs- und Strukturdaten'!$C$40)/'Erkrankungs- und Strukturdaten'!$C$37*'Erkrankungs- und Strukturdaten'!$E$39),0)</f>
        <v>70</v>
      </c>
      <c r="S102" s="52"/>
      <c r="U102" s="44">
        <f>((H102/'Erkrankungs- und Strukturdaten'!$C$25)*'Erkrankungs- und Strukturdaten'!$E$27*'Erkrankungs- und Strukturdaten'!$F$27)+(H102/'Erkrankungs- und Strukturdaten'!$C$26*'Erkrankungs- und Strukturdaten'!$G$27)</f>
        <v>10350.466666666667</v>
      </c>
      <c r="V102" s="44">
        <f>(I102/'Erkrankungs- und Strukturdaten'!$C$28*'Erkrankungs- und Strukturdaten'!$E$30*'Erkrankungs- und Strukturdaten'!$F$30)+(I102/'Erkrankungs- und Strukturdaten'!$C$29*'Erkrankungs- und Strukturdaten'!$G$30)</f>
        <v>4490.3885714285716</v>
      </c>
      <c r="AB102" s="2">
        <f t="shared" si="3"/>
        <v>44337</v>
      </c>
    </row>
    <row r="103" spans="1:28" ht="15" x14ac:dyDescent="0.2">
      <c r="A103" s="42">
        <v>94</v>
      </c>
      <c r="B103" s="371"/>
      <c r="C103" s="27">
        <f t="shared" si="4"/>
        <v>44338</v>
      </c>
      <c r="D103" s="6">
        <f>SUMIF('Fallzahlen (Berechnung)'!D:D,"&lt;="&amp;Prognoseergebnis!C103,'Fallzahlen (Berechnung)'!E:E)-'Fallzahlen (Berechnung)'!$E$1</f>
        <v>729579.3484356337</v>
      </c>
      <c r="E103" s="114">
        <f>VLOOKUP(C103,'Fallzahlen (Berechnung)'!$D:$E,'Fallzahlen (Berechnung)'!$E$1,FALSE)</f>
        <v>2397.3567970010808</v>
      </c>
      <c r="G103" s="18">
        <v>94</v>
      </c>
      <c r="H103" s="6">
        <f>ROUND('Erkrankungs- und Strukturdaten'!$C$8*D103-IF(G103&gt;'Erkrankungs- und Strukturdaten'!$C$14,VLOOKUP(Prognoseergebnis!G103-ROUNDDOWN('Erkrankungs- und Strukturdaten'!$C$14,0),$A:$D,$D$6,FALSE)*'Erkrankungs- und Strukturdaten'!$C$8,0)
+IF(G103&gt;'Erkrankungs- und Strukturdaten'!$C$15,VLOOKUP(Prognoseergebnis!G103-ROUNDDOWN('Erkrankungs- und Strukturdaten'!$C$15,0),A:D,$D$6,FALSE)*'Erkrankungs- und Strukturdaten'!$C$9,0)
-IF(G103&gt;'Erkrankungs- und Strukturdaten'!$C$15+'Erkrankungs- und Strukturdaten'!$C$16,VLOOKUP(Prognoseergebnis!G103-ROUNDDOWN('Erkrankungs- und Strukturdaten'!$C$15-'Erkrankungs- und Strukturdaten'!$C$16,0),A:D,$D$6,FALSE)*'Erkrankungs- und Strukturdaten'!$C$9,0),0)</f>
        <v>2919</v>
      </c>
      <c r="I103" s="6">
        <f>ROUND('Erkrankungs- und Strukturdaten'!$C$9*D103-IF(G103&gt;'Erkrankungs- und Strukturdaten'!$C$15,VLOOKUP(Prognoseergebnis!G103-'Erkrankungs- und Strukturdaten'!$C$15,$A:$D,$D$6,FALSE)*'Erkrankungs- und Strukturdaten'!$C$9,0),0)</f>
        <v>503</v>
      </c>
      <c r="J103" s="6">
        <f>I103*'Erkrankungs- und Strukturdaten'!$C$10/'Erkrankungs- und Strukturdaten'!$C$9</f>
        <v>246.47</v>
      </c>
      <c r="K103" s="6">
        <f>I103*'Erkrankungs- und Strukturdaten'!$C$21</f>
        <v>10060</v>
      </c>
      <c r="L103" s="11"/>
      <c r="M103" s="82">
        <f>SUM($K$66:K103)</f>
        <v>316220</v>
      </c>
      <c r="N103" s="9"/>
      <c r="O103" s="6">
        <f>IF(AND(((H103/'Erkrankungs- und Strukturdaten'!$C$25)*'Erkrankungs- und Strukturdaten'!$E$27)+(H103/'Erkrankungs- und Strukturdaten'!$C$26)&lt;1,((H103/'Erkrankungs- und Strukturdaten'!$C$25)*'Erkrankungs- und Strukturdaten'!$E$27)+(H103/'Erkrankungs- und Strukturdaten'!$C$26)&gt;0),1,((H103/'Erkrankungs- und Strukturdaten'!$C$25)*'Erkrankungs- und Strukturdaten'!$E$27)+(H103/'Erkrankungs- und Strukturdaten'!$C$26))</f>
        <v>1264.9000000000001</v>
      </c>
      <c r="P103" s="6">
        <f>ROUNDUP(((I103/'Erkrankungs- und Strukturdaten'!$C$28)*'Erkrankungs- und Strukturdaten'!$E$30)+(I103/'Erkrankungs- und Strukturdaten'!$C$29),0)</f>
        <v>547</v>
      </c>
      <c r="Q103" s="6">
        <f>ROUNDUP((H103/'Erkrankungs- und Strukturdaten'!$C$34*'Erkrankungs- und Strukturdaten'!$E$36)+(H103/'Erkrankungs- und Strukturdaten'!$C$35),0)</f>
        <v>203</v>
      </c>
      <c r="R103" s="6">
        <f>ROUNDUP((I103*'Erkrankungs- und Strukturdaten'!$C$40/'Erkrankungs- und Strukturdaten'!$C$38*'Erkrankungs- und Strukturdaten'!$E$39)+(I103*(1-'Erkrankungs- und Strukturdaten'!$C$40)/'Erkrankungs- und Strukturdaten'!$C$37*'Erkrankungs- und Strukturdaten'!$E$39),0)</f>
        <v>69</v>
      </c>
      <c r="S103" s="52"/>
      <c r="U103" s="44">
        <f>((H103/'Erkrankungs- und Strukturdaten'!$C$25)*'Erkrankungs- und Strukturdaten'!$E$27*'Erkrankungs- und Strukturdaten'!$F$27)+(H103/'Erkrankungs- und Strukturdaten'!$C$26*'Erkrankungs- und Strukturdaten'!$G$27)</f>
        <v>10411.1</v>
      </c>
      <c r="V103" s="44">
        <f>(I103/'Erkrankungs- und Strukturdaten'!$C$28*'Erkrankungs- und Strukturdaten'!$E$30*'Erkrankungs- und Strukturdaten'!$F$30)+(I103/'Erkrankungs- und Strukturdaten'!$C$29*'Erkrankungs- und Strukturdaten'!$G$30)</f>
        <v>4463.7657142857142</v>
      </c>
      <c r="AB103" s="2">
        <f t="shared" si="3"/>
        <v>44338</v>
      </c>
    </row>
    <row r="104" spans="1:28" ht="15" x14ac:dyDescent="0.2">
      <c r="A104" s="42">
        <v>95</v>
      </c>
      <c r="B104" s="371"/>
      <c r="C104" s="28">
        <f t="shared" si="4"/>
        <v>44339</v>
      </c>
      <c r="D104" s="5">
        <f>SUMIF('Fallzahlen (Berechnung)'!D:D,"&lt;="&amp;Prognoseergebnis!C104,'Fallzahlen (Berechnung)'!E:E)-'Fallzahlen (Berechnung)'!$E$1</f>
        <v>731397.59045666514</v>
      </c>
      <c r="E104" s="115">
        <f>VLOOKUP(C104,'Fallzahlen (Berechnung)'!$D:$E,'Fallzahlen (Berechnung)'!$E$1,FALSE)</f>
        <v>1818.2420210314024</v>
      </c>
      <c r="G104" s="18">
        <v>95</v>
      </c>
      <c r="H104" s="5">
        <f>ROUND('Erkrankungs- und Strukturdaten'!$C$8*D104-IF(G104&gt;'Erkrankungs- und Strukturdaten'!$C$14,VLOOKUP(Prognoseergebnis!G104-ROUNDDOWN('Erkrankungs- und Strukturdaten'!$C$14,0),$A:$D,$D$6,FALSE)*'Erkrankungs- und Strukturdaten'!$C$8,0)
+IF(G104&gt;'Erkrankungs- und Strukturdaten'!$C$15,VLOOKUP(Prognoseergebnis!G104-ROUNDDOWN('Erkrankungs- und Strukturdaten'!$C$15,0),A:D,$D$6,FALSE)*'Erkrankungs- und Strukturdaten'!$C$9,0)
-IF(G104&gt;'Erkrankungs- und Strukturdaten'!$C$15+'Erkrankungs- und Strukturdaten'!$C$16,VLOOKUP(Prognoseergebnis!G104-ROUNDDOWN('Erkrankungs- und Strukturdaten'!$C$15-'Erkrankungs- und Strukturdaten'!$C$16,0),A:D,$D$6,FALSE)*'Erkrankungs- und Strukturdaten'!$C$9,0),0)</f>
        <v>2929</v>
      </c>
      <c r="I104" s="5">
        <f>ROUND('Erkrankungs- und Strukturdaten'!$C$9*D104-IF(G104&gt;'Erkrankungs- und Strukturdaten'!$C$15,VLOOKUP(Prognoseergebnis!G104-'Erkrankungs- und Strukturdaten'!$C$15,$A:$D,$D$6,FALSE)*'Erkrankungs- und Strukturdaten'!$C$9,0),0)</f>
        <v>500</v>
      </c>
      <c r="J104" s="5">
        <f>I104*'Erkrankungs- und Strukturdaten'!$C$10/'Erkrankungs- und Strukturdaten'!$C$9</f>
        <v>244.99999999999997</v>
      </c>
      <c r="K104" s="5">
        <f>I104*'Erkrankungs- und Strukturdaten'!$C$21</f>
        <v>10000</v>
      </c>
      <c r="L104" s="11"/>
      <c r="M104" s="82">
        <f>SUM($K$66:K104)</f>
        <v>326220</v>
      </c>
      <c r="N104" s="9"/>
      <c r="O104" s="5">
        <f>IF(AND(((H104/'Erkrankungs- und Strukturdaten'!$C$25)*'Erkrankungs- und Strukturdaten'!$E$27)+(H104/'Erkrankungs- und Strukturdaten'!$C$26)&lt;1,((H104/'Erkrankungs- und Strukturdaten'!$C$25)*'Erkrankungs- und Strukturdaten'!$E$27)+(H104/'Erkrankungs- und Strukturdaten'!$C$26)&gt;0),1,((H104/'Erkrankungs- und Strukturdaten'!$C$25)*'Erkrankungs- und Strukturdaten'!$E$27)+(H104/'Erkrankungs- und Strukturdaten'!$C$26))</f>
        <v>1269.2333333333333</v>
      </c>
      <c r="P104" s="5">
        <f>ROUNDUP(((I104/'Erkrankungs- und Strukturdaten'!$C$28)*'Erkrankungs- und Strukturdaten'!$E$30)+(I104/'Erkrankungs- und Strukturdaten'!$C$29),0)</f>
        <v>543</v>
      </c>
      <c r="Q104" s="5">
        <f>ROUNDUP((H104/'Erkrankungs- und Strukturdaten'!$C$34*'Erkrankungs- und Strukturdaten'!$E$36)+(H104/'Erkrankungs- und Strukturdaten'!$C$35),0)</f>
        <v>204</v>
      </c>
      <c r="R104" s="5">
        <f>ROUNDUP((I104*'Erkrankungs- und Strukturdaten'!$C$40/'Erkrankungs- und Strukturdaten'!$C$38*'Erkrankungs- und Strukturdaten'!$E$39)+(I104*(1-'Erkrankungs- und Strukturdaten'!$C$40)/'Erkrankungs- und Strukturdaten'!$C$37*'Erkrankungs- und Strukturdaten'!$E$39),0)</f>
        <v>69</v>
      </c>
      <c r="S104" s="52"/>
      <c r="U104" s="44">
        <f>((H104/'Erkrankungs- und Strukturdaten'!$C$25)*'Erkrankungs- und Strukturdaten'!$E$27*'Erkrankungs- und Strukturdaten'!$F$27)+(H104/'Erkrankungs- und Strukturdaten'!$C$26*'Erkrankungs- und Strukturdaten'!$G$27)</f>
        <v>10446.766666666666</v>
      </c>
      <c r="V104" s="44">
        <f>(I104/'Erkrankungs- und Strukturdaten'!$C$28*'Erkrankungs- und Strukturdaten'!$E$30*'Erkrankungs- und Strukturdaten'!$F$30)+(I104/'Erkrankungs- und Strukturdaten'!$C$29*'Erkrankungs- und Strukturdaten'!$G$30)</f>
        <v>4437.1428571428569</v>
      </c>
      <c r="AB104" s="2">
        <f t="shared" si="3"/>
        <v>44339</v>
      </c>
    </row>
    <row r="105" spans="1:28" ht="15" x14ac:dyDescent="0.2">
      <c r="A105" s="42">
        <v>96</v>
      </c>
      <c r="B105" s="371"/>
      <c r="C105" s="27">
        <f t="shared" si="4"/>
        <v>44340</v>
      </c>
      <c r="D105" s="6">
        <f>SUMIF('Fallzahlen (Berechnung)'!D:D,"&lt;="&amp;Prognoseergebnis!C105,'Fallzahlen (Berechnung)'!E:E)-'Fallzahlen (Berechnung)'!$E$1</f>
        <v>735480.86535876791</v>
      </c>
      <c r="E105" s="114">
        <f>VLOOKUP(C105,'Fallzahlen (Berechnung)'!$D:$E,'Fallzahlen (Berechnung)'!$E$1,FALSE)</f>
        <v>4083.2749021027557</v>
      </c>
      <c r="G105" s="18">
        <v>96</v>
      </c>
      <c r="H105" s="6">
        <f>ROUND('Erkrankungs- und Strukturdaten'!$C$8*D105-IF(G105&gt;'Erkrankungs- und Strukturdaten'!$C$14,VLOOKUP(Prognoseergebnis!G105-ROUNDDOWN('Erkrankungs- und Strukturdaten'!$C$14,0),$A:$D,$D$6,FALSE)*'Erkrankungs- und Strukturdaten'!$C$8,0)
+IF(G105&gt;'Erkrankungs- und Strukturdaten'!$C$15,VLOOKUP(Prognoseergebnis!G105-ROUNDDOWN('Erkrankungs- und Strukturdaten'!$C$15,0),A:D,$D$6,FALSE)*'Erkrankungs- und Strukturdaten'!$C$9,0)
-IF(G105&gt;'Erkrankungs- und Strukturdaten'!$C$15+'Erkrankungs- und Strukturdaten'!$C$16,VLOOKUP(Prognoseergebnis!G105-ROUNDDOWN('Erkrankungs- und Strukturdaten'!$C$15-'Erkrankungs- und Strukturdaten'!$C$16,0),A:D,$D$6,FALSE)*'Erkrankungs- und Strukturdaten'!$C$9,0),0)</f>
        <v>2966</v>
      </c>
      <c r="I105" s="6">
        <f>ROUND('Erkrankungs- und Strukturdaten'!$C$9*D105-IF(G105&gt;'Erkrankungs- und Strukturdaten'!$C$15,VLOOKUP(Prognoseergebnis!G105-'Erkrankungs- und Strukturdaten'!$C$15,$A:$D,$D$6,FALSE)*'Erkrankungs- und Strukturdaten'!$C$9,0),0)</f>
        <v>528</v>
      </c>
      <c r="J105" s="6">
        <f>I105*'Erkrankungs- und Strukturdaten'!$C$10/'Erkrankungs- und Strukturdaten'!$C$9</f>
        <v>258.71999999999997</v>
      </c>
      <c r="K105" s="6">
        <f>I105*'Erkrankungs- und Strukturdaten'!$C$21</f>
        <v>10560</v>
      </c>
      <c r="L105" s="11"/>
      <c r="M105" s="82">
        <f>SUM($K$66:K105)</f>
        <v>336780</v>
      </c>
      <c r="N105" s="9"/>
      <c r="O105" s="6">
        <f>IF(AND(((H105/'Erkrankungs- und Strukturdaten'!$C$25)*'Erkrankungs- und Strukturdaten'!$E$27)+(H105/'Erkrankungs- und Strukturdaten'!$C$26)&lt;1,((H105/'Erkrankungs- und Strukturdaten'!$C$25)*'Erkrankungs- und Strukturdaten'!$E$27)+(H105/'Erkrankungs- und Strukturdaten'!$C$26)&gt;0),1,((H105/'Erkrankungs- und Strukturdaten'!$C$25)*'Erkrankungs- und Strukturdaten'!$E$27)+(H105/'Erkrankungs- und Strukturdaten'!$C$26))</f>
        <v>1285.2666666666667</v>
      </c>
      <c r="P105" s="6">
        <f>ROUNDUP(((I105/'Erkrankungs- und Strukturdaten'!$C$28)*'Erkrankungs- und Strukturdaten'!$E$30)+(I105/'Erkrankungs- und Strukturdaten'!$C$29),0)</f>
        <v>574</v>
      </c>
      <c r="Q105" s="6">
        <f>ROUNDUP((H105/'Erkrankungs- und Strukturdaten'!$C$34*'Erkrankungs- und Strukturdaten'!$E$36)+(H105/'Erkrankungs- und Strukturdaten'!$C$35),0)</f>
        <v>206</v>
      </c>
      <c r="R105" s="6">
        <f>ROUNDUP((I105*'Erkrankungs- und Strukturdaten'!$C$40/'Erkrankungs- und Strukturdaten'!$C$38*'Erkrankungs- und Strukturdaten'!$E$39)+(I105*(1-'Erkrankungs- und Strukturdaten'!$C$40)/'Erkrankungs- und Strukturdaten'!$C$37*'Erkrankungs- und Strukturdaten'!$E$39),0)</f>
        <v>73</v>
      </c>
      <c r="S105" s="52"/>
      <c r="U105" s="44">
        <f>((H105/'Erkrankungs- und Strukturdaten'!$C$25)*'Erkrankungs- und Strukturdaten'!$E$27*'Erkrankungs- und Strukturdaten'!$F$27)+(H105/'Erkrankungs- und Strukturdaten'!$C$26*'Erkrankungs- und Strukturdaten'!$G$27)</f>
        <v>10578.733333333334</v>
      </c>
      <c r="V105" s="44">
        <f>(I105/'Erkrankungs- und Strukturdaten'!$C$28*'Erkrankungs- und Strukturdaten'!$E$30*'Erkrankungs- und Strukturdaten'!$F$30)+(I105/'Erkrankungs- und Strukturdaten'!$C$29*'Erkrankungs- und Strukturdaten'!$G$30)</f>
        <v>4685.6228571428574</v>
      </c>
      <c r="AB105" s="2">
        <f t="shared" si="3"/>
        <v>44340</v>
      </c>
    </row>
    <row r="106" spans="1:28" ht="15" x14ac:dyDescent="0.2">
      <c r="A106" s="42">
        <v>97</v>
      </c>
      <c r="B106" s="371"/>
      <c r="C106" s="28">
        <f t="shared" si="4"/>
        <v>44341</v>
      </c>
      <c r="D106" s="5">
        <f>SUMIF('Fallzahlen (Berechnung)'!D:D,"&lt;="&amp;Prognoseergebnis!C106,'Fallzahlen (Berechnung)'!E:E)-'Fallzahlen (Berechnung)'!$E$1</f>
        <v>739743.91890564526</v>
      </c>
      <c r="E106" s="115">
        <f>VLOOKUP(C106,'Fallzahlen (Berechnung)'!$D:$E,'Fallzahlen (Berechnung)'!$E$1,FALSE)</f>
        <v>4263.0535468773187</v>
      </c>
      <c r="G106" s="18">
        <v>97</v>
      </c>
      <c r="H106" s="5">
        <f>ROUND('Erkrankungs- und Strukturdaten'!$C$8*D106-IF(G106&gt;'Erkrankungs- und Strukturdaten'!$C$14,VLOOKUP(Prognoseergebnis!G106-ROUNDDOWN('Erkrankungs- und Strukturdaten'!$C$14,0),$A:$D,$D$6,FALSE)*'Erkrankungs- und Strukturdaten'!$C$8,0)
+IF(G106&gt;'Erkrankungs- und Strukturdaten'!$C$15,VLOOKUP(Prognoseergebnis!G106-ROUNDDOWN('Erkrankungs- und Strukturdaten'!$C$15,0),A:D,$D$6,FALSE)*'Erkrankungs- und Strukturdaten'!$C$9,0)
-IF(G106&gt;'Erkrankungs- und Strukturdaten'!$C$15+'Erkrankungs- und Strukturdaten'!$C$16,VLOOKUP(Prognoseergebnis!G106-ROUNDDOWN('Erkrankungs- und Strukturdaten'!$C$15-'Erkrankungs- und Strukturdaten'!$C$16,0),A:D,$D$6,FALSE)*'Erkrankungs- und Strukturdaten'!$C$9,0),0)</f>
        <v>3032</v>
      </c>
      <c r="I106" s="5">
        <f>ROUND('Erkrankungs- und Strukturdaten'!$C$9*D106-IF(G106&gt;'Erkrankungs- und Strukturdaten'!$C$15,VLOOKUP(Prognoseergebnis!G106-'Erkrankungs- und Strukturdaten'!$C$15,$A:$D,$D$6,FALSE)*'Erkrankungs- und Strukturdaten'!$C$9,0),0)</f>
        <v>537</v>
      </c>
      <c r="J106" s="5">
        <f>I106*'Erkrankungs- und Strukturdaten'!$C$10/'Erkrankungs- und Strukturdaten'!$C$9</f>
        <v>263.13</v>
      </c>
      <c r="K106" s="5">
        <f>I106*'Erkrankungs- und Strukturdaten'!$C$21</f>
        <v>10740</v>
      </c>
      <c r="L106" s="11"/>
      <c r="M106" s="82">
        <f>SUM($K$66:K106)</f>
        <v>347520</v>
      </c>
      <c r="N106" s="9"/>
      <c r="O106" s="5">
        <f>IF(AND(((H106/'Erkrankungs- und Strukturdaten'!$C$25)*'Erkrankungs- und Strukturdaten'!$E$27)+(H106/'Erkrankungs- und Strukturdaten'!$C$26)&lt;1,((H106/'Erkrankungs- und Strukturdaten'!$C$25)*'Erkrankungs- und Strukturdaten'!$E$27)+(H106/'Erkrankungs- und Strukturdaten'!$C$26)&gt;0),1,((H106/'Erkrankungs- und Strukturdaten'!$C$25)*'Erkrankungs- und Strukturdaten'!$E$27)+(H106/'Erkrankungs- und Strukturdaten'!$C$26))</f>
        <v>1313.8666666666666</v>
      </c>
      <c r="P106" s="5">
        <f>ROUNDUP(((I106/'Erkrankungs- und Strukturdaten'!$C$28)*'Erkrankungs- und Strukturdaten'!$E$30)+(I106/'Erkrankungs- und Strukturdaten'!$C$29),0)</f>
        <v>584</v>
      </c>
      <c r="Q106" s="5">
        <f>ROUNDUP((H106/'Erkrankungs- und Strukturdaten'!$C$34*'Erkrankungs- und Strukturdaten'!$E$36)+(H106/'Erkrankungs- und Strukturdaten'!$C$35),0)</f>
        <v>211</v>
      </c>
      <c r="R106" s="5">
        <f>ROUNDUP((I106*'Erkrankungs- und Strukturdaten'!$C$40/'Erkrankungs- und Strukturdaten'!$C$38*'Erkrankungs- und Strukturdaten'!$E$39)+(I106*(1-'Erkrankungs- und Strukturdaten'!$C$40)/'Erkrankungs- und Strukturdaten'!$C$37*'Erkrankungs- und Strukturdaten'!$E$39),0)</f>
        <v>74</v>
      </c>
      <c r="S106" s="52"/>
      <c r="U106" s="44">
        <f>((H106/'Erkrankungs- und Strukturdaten'!$C$25)*'Erkrankungs- und Strukturdaten'!$E$27*'Erkrankungs- und Strukturdaten'!$F$27)+(H106/'Erkrankungs- und Strukturdaten'!$C$26*'Erkrankungs- und Strukturdaten'!$G$27)</f>
        <v>10814.133333333333</v>
      </c>
      <c r="V106" s="44">
        <f>(I106/'Erkrankungs- und Strukturdaten'!$C$28*'Erkrankungs- und Strukturdaten'!$E$30*'Erkrankungs- und Strukturdaten'!$F$30)+(I106/'Erkrankungs- und Strukturdaten'!$C$29*'Erkrankungs- und Strukturdaten'!$G$30)</f>
        <v>4765.4914285714285</v>
      </c>
      <c r="AB106" s="2">
        <f t="shared" si="3"/>
        <v>44341</v>
      </c>
    </row>
    <row r="107" spans="1:28" ht="15" x14ac:dyDescent="0.2">
      <c r="A107" s="42">
        <v>98</v>
      </c>
      <c r="B107" s="371"/>
      <c r="C107" s="73">
        <f t="shared" si="4"/>
        <v>44342</v>
      </c>
      <c r="D107" s="74">
        <f>SUMIF('Fallzahlen (Berechnung)'!D:D,"&lt;="&amp;Prognoseergebnis!C107,'Fallzahlen (Berechnung)'!E:E)-'Fallzahlen (Berechnung)'!$E$1</f>
        <v>743661.4668443501</v>
      </c>
      <c r="E107" s="119">
        <f>VLOOKUP(C107,'Fallzahlen (Berechnung)'!$D:$E,'Fallzahlen (Berechnung)'!$E$1,FALSE)</f>
        <v>3917.5479387048222</v>
      </c>
      <c r="G107" s="18">
        <v>98</v>
      </c>
      <c r="H107" s="74">
        <f>ROUND('Erkrankungs- und Strukturdaten'!$C$8*D107-IF(G107&gt;'Erkrankungs- und Strukturdaten'!$C$14,VLOOKUP(Prognoseergebnis!G107-ROUNDDOWN('Erkrankungs- und Strukturdaten'!$C$14,0),$A:$D,$D$6,FALSE)*'Erkrankungs- und Strukturdaten'!$C$8,0)
+IF(G107&gt;'Erkrankungs- und Strukturdaten'!$C$15,VLOOKUP(Prognoseergebnis!G107-ROUNDDOWN('Erkrankungs- und Strukturdaten'!$C$15,0),A:D,$D$6,FALSE)*'Erkrankungs- und Strukturdaten'!$C$9,0)
-IF(G107&gt;'Erkrankungs- und Strukturdaten'!$C$15+'Erkrankungs- und Strukturdaten'!$C$16,VLOOKUP(Prognoseergebnis!G107-ROUNDDOWN('Erkrankungs- und Strukturdaten'!$C$15-'Erkrankungs- und Strukturdaten'!$C$16,0),A:D,$D$6,FALSE)*'Erkrankungs- und Strukturdaten'!$C$9,0),0)</f>
        <v>3072</v>
      </c>
      <c r="I107" s="74">
        <f>ROUND('Erkrankungs- und Strukturdaten'!$C$9*D107-IF(G107&gt;'Erkrankungs- und Strukturdaten'!$C$15,VLOOKUP(Prognoseergebnis!G107-'Erkrankungs- und Strukturdaten'!$C$15,$A:$D,$D$6,FALSE)*'Erkrankungs- und Strukturdaten'!$C$9,0),0)</f>
        <v>540</v>
      </c>
      <c r="J107" s="74">
        <f>I107*'Erkrankungs- und Strukturdaten'!$C$10/'Erkrankungs- und Strukturdaten'!$C$9</f>
        <v>264.60000000000002</v>
      </c>
      <c r="K107" s="74">
        <f>I107*'Erkrankungs- und Strukturdaten'!$C$21</f>
        <v>10800</v>
      </c>
      <c r="L107" s="11"/>
      <c r="M107" s="82">
        <f>SUM($K$66:K107)</f>
        <v>358320</v>
      </c>
      <c r="N107" s="9"/>
      <c r="O107" s="74">
        <f>IF(AND(((H107/'Erkrankungs- und Strukturdaten'!$C$25)*'Erkrankungs- und Strukturdaten'!$E$27)+(H107/'Erkrankungs- und Strukturdaten'!$C$26)&lt;1,((H107/'Erkrankungs- und Strukturdaten'!$C$25)*'Erkrankungs- und Strukturdaten'!$E$27)+(H107/'Erkrankungs- und Strukturdaten'!$C$26)&gt;0),1,((H107/'Erkrankungs- und Strukturdaten'!$C$25)*'Erkrankungs- und Strukturdaten'!$E$27)+(H107/'Erkrankungs- und Strukturdaten'!$C$26))</f>
        <v>1331.2</v>
      </c>
      <c r="P107" s="74">
        <f>ROUNDUP(((I107/'Erkrankungs- und Strukturdaten'!$C$28)*'Erkrankungs- und Strukturdaten'!$E$30)+(I107/'Erkrankungs- und Strukturdaten'!$C$29),0)</f>
        <v>587</v>
      </c>
      <c r="Q107" s="74">
        <f>ROUNDUP((H107/'Erkrankungs- und Strukturdaten'!$C$34*'Erkrankungs- und Strukturdaten'!$E$36)+(H107/'Erkrankungs- und Strukturdaten'!$C$35),0)</f>
        <v>214</v>
      </c>
      <c r="R107" s="74">
        <f>ROUNDUP((I107*'Erkrankungs- und Strukturdaten'!$C$40/'Erkrankungs- und Strukturdaten'!$C$38*'Erkrankungs- und Strukturdaten'!$E$39)+(I107*(1-'Erkrankungs- und Strukturdaten'!$C$40)/'Erkrankungs- und Strukturdaten'!$C$37*'Erkrankungs- und Strukturdaten'!$E$39),0)</f>
        <v>74</v>
      </c>
      <c r="S107" s="52"/>
      <c r="U107" s="44">
        <f>((H107/'Erkrankungs- und Strukturdaten'!$C$25)*'Erkrankungs- und Strukturdaten'!$E$27*'Erkrankungs- und Strukturdaten'!$F$27)+(H107/'Erkrankungs- und Strukturdaten'!$C$26*'Erkrankungs- und Strukturdaten'!$G$27)</f>
        <v>10956.8</v>
      </c>
      <c r="V107" s="44">
        <f>(I107/'Erkrankungs- und Strukturdaten'!$C$28*'Erkrankungs- und Strukturdaten'!$E$30*'Erkrankungs- und Strukturdaten'!$F$30)+(I107/'Erkrankungs- und Strukturdaten'!$C$29*'Erkrankungs- und Strukturdaten'!$G$30)</f>
        <v>4792.1142857142859</v>
      </c>
      <c r="AB107" s="2">
        <f t="shared" si="3"/>
        <v>44342</v>
      </c>
    </row>
    <row r="108" spans="1:28" ht="14.85" customHeight="1" x14ac:dyDescent="0.2">
      <c r="A108" s="42">
        <v>99</v>
      </c>
      <c r="B108" s="370" t="s">
        <v>36</v>
      </c>
      <c r="C108" s="78">
        <f t="shared" si="4"/>
        <v>44343</v>
      </c>
      <c r="D108" s="4">
        <f>SUMIF('Fallzahlen (Berechnung)'!D:D,"&lt;="&amp;Prognoseergebnis!C108,'Fallzahlen (Berechnung)'!E:E)-'Fallzahlen (Berechnung)'!$E$1</f>
        <v>747613.44080636872</v>
      </c>
      <c r="E108" s="116">
        <f>VLOOKUP(C108,'Fallzahlen (Berechnung)'!$D:$E,'Fallzahlen (Berechnung)'!$E$1,FALSE)</f>
        <v>3951.9739620186688</v>
      </c>
      <c r="G108" s="18">
        <v>99</v>
      </c>
      <c r="H108" s="4">
        <f>ROUND('Erkrankungs- und Strukturdaten'!$C$8*D108-IF(G108&gt;'Erkrankungs- und Strukturdaten'!$C$14,VLOOKUP(Prognoseergebnis!G108-ROUNDDOWN('Erkrankungs- und Strukturdaten'!$C$14,0),$A:$D,$D$6,FALSE)*'Erkrankungs- und Strukturdaten'!$C$8,0)
+IF(G108&gt;'Erkrankungs- und Strukturdaten'!$C$15,VLOOKUP(Prognoseergebnis!G108-ROUNDDOWN('Erkrankungs- und Strukturdaten'!$C$15,0),A:D,$D$6,FALSE)*'Erkrankungs- und Strukturdaten'!$C$9,0)
-IF(G108&gt;'Erkrankungs- und Strukturdaten'!$C$15+'Erkrankungs- und Strukturdaten'!$C$16,VLOOKUP(Prognoseergebnis!G108-ROUNDDOWN('Erkrankungs- und Strukturdaten'!$C$15-'Erkrankungs- und Strukturdaten'!$C$16,0),A:D,$D$6,FALSE)*'Erkrankungs- und Strukturdaten'!$C$9,0),0)</f>
        <v>3107</v>
      </c>
      <c r="I108" s="4">
        <f>ROUND('Erkrankungs- und Strukturdaten'!$C$9*D108-IF(G108&gt;'Erkrankungs- und Strukturdaten'!$C$15,VLOOKUP(Prognoseergebnis!G108-'Erkrankungs- und Strukturdaten'!$C$15,$A:$D,$D$6,FALSE)*'Erkrankungs- und Strukturdaten'!$C$9,0),0)</f>
        <v>547</v>
      </c>
      <c r="J108" s="4">
        <f>I108*'Erkrankungs- und Strukturdaten'!$C$10/'Erkrankungs- und Strukturdaten'!$C$9</f>
        <v>268.02999999999997</v>
      </c>
      <c r="K108" s="4">
        <f>I108*'Erkrankungs- und Strukturdaten'!$C$21</f>
        <v>10940</v>
      </c>
      <c r="L108" s="11"/>
      <c r="M108" s="82">
        <f>SUM($K$66:K108)</f>
        <v>369260</v>
      </c>
      <c r="N108" s="9"/>
      <c r="O108" s="4">
        <f>IF(AND(((H108/'Erkrankungs- und Strukturdaten'!$C$25)*'Erkrankungs- und Strukturdaten'!$E$27)+(H108/'Erkrankungs- und Strukturdaten'!$C$26)&lt;1,((H108/'Erkrankungs- und Strukturdaten'!$C$25)*'Erkrankungs- und Strukturdaten'!$E$27)+(H108/'Erkrankungs- und Strukturdaten'!$C$26)&gt;0),1,((H108/'Erkrankungs- und Strukturdaten'!$C$25)*'Erkrankungs- und Strukturdaten'!$E$27)+(H108/'Erkrankungs- und Strukturdaten'!$C$26))</f>
        <v>1346.3666666666668</v>
      </c>
      <c r="P108" s="4">
        <f>ROUNDUP(((I108/'Erkrankungs- und Strukturdaten'!$C$28)*'Erkrankungs- und Strukturdaten'!$E$30)+(I108/'Erkrankungs- und Strukturdaten'!$C$29),0)</f>
        <v>594</v>
      </c>
      <c r="Q108" s="4">
        <f>ROUNDUP((H108/'Erkrankungs- und Strukturdaten'!$C$34*'Erkrankungs- und Strukturdaten'!$E$36)+(H108/'Erkrankungs- und Strukturdaten'!$C$35),0)</f>
        <v>216</v>
      </c>
      <c r="R108" s="4">
        <f>ROUNDUP((I108*'Erkrankungs- und Strukturdaten'!$C$40/'Erkrankungs- und Strukturdaten'!$C$38*'Erkrankungs- und Strukturdaten'!$E$39)+(I108*(1-'Erkrankungs- und Strukturdaten'!$C$40)/'Erkrankungs- und Strukturdaten'!$C$37*'Erkrankungs- und Strukturdaten'!$E$39),0)</f>
        <v>75</v>
      </c>
      <c r="S108" s="52"/>
      <c r="U108" s="44">
        <f>((H108/'Erkrankungs- und Strukturdaten'!$C$25)*'Erkrankungs- und Strukturdaten'!$E$27*'Erkrankungs- und Strukturdaten'!$F$27)+(H108/'Erkrankungs- und Strukturdaten'!$C$26*'Erkrankungs- und Strukturdaten'!$G$27)</f>
        <v>11081.633333333335</v>
      </c>
      <c r="V108" s="44">
        <f>(I108/'Erkrankungs- und Strukturdaten'!$C$28*'Erkrankungs- und Strukturdaten'!$E$30*'Erkrankungs- und Strukturdaten'!$F$30)+(I108/'Erkrankungs- und Strukturdaten'!$C$29*'Erkrankungs- und Strukturdaten'!$G$30)</f>
        <v>4854.2342857142858</v>
      </c>
      <c r="AB108" s="2">
        <f t="shared" si="3"/>
        <v>44343</v>
      </c>
    </row>
    <row r="109" spans="1:28" ht="15" x14ac:dyDescent="0.2">
      <c r="A109" s="42">
        <v>100</v>
      </c>
      <c r="B109" s="370"/>
      <c r="C109" s="27">
        <f t="shared" si="4"/>
        <v>44344</v>
      </c>
      <c r="D109" s="6">
        <f>SUMIF('Fallzahlen (Berechnung)'!D:D,"&lt;="&amp;Prognoseergebnis!C109,'Fallzahlen (Berechnung)'!E:E)-'Fallzahlen (Berechnung)'!$E$1</f>
        <v>751073.34064916987</v>
      </c>
      <c r="E109" s="114">
        <f>VLOOKUP(C109,'Fallzahlen (Berechnung)'!$D:$E,'Fallzahlen (Berechnung)'!$E$1,FALSE)</f>
        <v>3459.8998428011319</v>
      </c>
      <c r="G109" s="18">
        <v>100</v>
      </c>
      <c r="H109" s="6">
        <f>ROUND('Erkrankungs- und Strukturdaten'!$C$8*D109-IF(G109&gt;'Erkrankungs- und Strukturdaten'!$C$14,VLOOKUP(Prognoseergebnis!G109-ROUNDDOWN('Erkrankungs- und Strukturdaten'!$C$14,0),$A:$D,$D$6,FALSE)*'Erkrankungs- und Strukturdaten'!$C$8,0)
+IF(G109&gt;'Erkrankungs- und Strukturdaten'!$C$15,VLOOKUP(Prognoseergebnis!G109-ROUNDDOWN('Erkrankungs- und Strukturdaten'!$C$15,0),A:D,$D$6,FALSE)*'Erkrankungs- und Strukturdaten'!$C$9,0)
-IF(G109&gt;'Erkrankungs- und Strukturdaten'!$C$15+'Erkrankungs- und Strukturdaten'!$C$16,VLOOKUP(Prognoseergebnis!G109-ROUNDDOWN('Erkrankungs- und Strukturdaten'!$C$15-'Erkrankungs- und Strukturdaten'!$C$16,0),A:D,$D$6,FALSE)*'Erkrankungs- und Strukturdaten'!$C$9,0),0)</f>
        <v>3141</v>
      </c>
      <c r="I109" s="6">
        <f>ROUND('Erkrankungs- und Strukturdaten'!$C$9*D109-IF(G109&gt;'Erkrankungs- und Strukturdaten'!$C$15,VLOOKUP(Prognoseergebnis!G109-'Erkrankungs- und Strukturdaten'!$C$15,$A:$D,$D$6,FALSE)*'Erkrankungs- und Strukturdaten'!$C$9,0),0)</f>
        <v>548</v>
      </c>
      <c r="J109" s="6">
        <f>I109*'Erkrankungs- und Strukturdaten'!$C$10/'Erkrankungs- und Strukturdaten'!$C$9</f>
        <v>268.52</v>
      </c>
      <c r="K109" s="6">
        <f>I109*'Erkrankungs- und Strukturdaten'!$C$21</f>
        <v>10960</v>
      </c>
      <c r="L109" s="11"/>
      <c r="M109" s="82">
        <f>SUM($K$66:K109)</f>
        <v>380220</v>
      </c>
      <c r="N109" s="9"/>
      <c r="O109" s="6">
        <f>IF(AND(((H109/'Erkrankungs- und Strukturdaten'!$C$25)*'Erkrankungs- und Strukturdaten'!$E$27)+(H109/'Erkrankungs- und Strukturdaten'!$C$26)&lt;1,((H109/'Erkrankungs- und Strukturdaten'!$C$25)*'Erkrankungs- und Strukturdaten'!$E$27)+(H109/'Erkrankungs- und Strukturdaten'!$C$26)&gt;0),1,((H109/'Erkrankungs- und Strukturdaten'!$C$25)*'Erkrankungs- und Strukturdaten'!$E$27)+(H109/'Erkrankungs- und Strukturdaten'!$C$26))</f>
        <v>1361.1</v>
      </c>
      <c r="P109" s="6">
        <f>ROUNDUP(((I109/'Erkrankungs- und Strukturdaten'!$C$28)*'Erkrankungs- und Strukturdaten'!$E$30)+(I109/'Erkrankungs- und Strukturdaten'!$C$29),0)</f>
        <v>595</v>
      </c>
      <c r="Q109" s="6">
        <f>ROUNDUP((H109/'Erkrankungs- und Strukturdaten'!$C$34*'Erkrankungs- und Strukturdaten'!$E$36)+(H109/'Erkrankungs- und Strukturdaten'!$C$35),0)</f>
        <v>219</v>
      </c>
      <c r="R109" s="6">
        <f>ROUNDUP((I109*'Erkrankungs- und Strukturdaten'!$C$40/'Erkrankungs- und Strukturdaten'!$C$38*'Erkrankungs- und Strukturdaten'!$E$39)+(I109*(1-'Erkrankungs- und Strukturdaten'!$C$40)/'Erkrankungs- und Strukturdaten'!$C$37*'Erkrankungs- und Strukturdaten'!$E$39),0)</f>
        <v>75</v>
      </c>
      <c r="S109" s="52"/>
      <c r="U109" s="44">
        <f>((H109/'Erkrankungs- und Strukturdaten'!$C$25)*'Erkrankungs- und Strukturdaten'!$E$27*'Erkrankungs- und Strukturdaten'!$F$27)+(H109/'Erkrankungs- und Strukturdaten'!$C$26*'Erkrankungs- und Strukturdaten'!$G$27)</f>
        <v>11202.900000000001</v>
      </c>
      <c r="V109" s="44">
        <f>(I109/'Erkrankungs- und Strukturdaten'!$C$28*'Erkrankungs- und Strukturdaten'!$E$30*'Erkrankungs- und Strukturdaten'!$F$30)+(I109/'Erkrankungs- und Strukturdaten'!$C$29*'Erkrankungs- und Strukturdaten'!$G$30)</f>
        <v>4863.1085714285709</v>
      </c>
      <c r="AB109" s="2">
        <f t="shared" si="3"/>
        <v>44344</v>
      </c>
    </row>
    <row r="110" spans="1:28" ht="15" x14ac:dyDescent="0.2">
      <c r="A110" s="42">
        <v>101</v>
      </c>
      <c r="B110" s="370"/>
      <c r="C110" s="28">
        <f t="shared" si="4"/>
        <v>44345</v>
      </c>
      <c r="D110" s="5">
        <f>SUMIF('Fallzahlen (Berechnung)'!D:D,"&lt;="&amp;Prognoseergebnis!C110,'Fallzahlen (Berechnung)'!E:E)-'Fallzahlen (Berechnung)'!$E$1</f>
        <v>753674.47975995613</v>
      </c>
      <c r="E110" s="115">
        <f>VLOOKUP(C110,'Fallzahlen (Berechnung)'!$D:$E,'Fallzahlen (Berechnung)'!$E$1,FALSE)</f>
        <v>2601.139110786256</v>
      </c>
      <c r="G110" s="18">
        <v>101</v>
      </c>
      <c r="H110" s="5">
        <f>ROUND('Erkrankungs- und Strukturdaten'!$C$8*D110-IF(G110&gt;'Erkrankungs- und Strukturdaten'!$C$14,VLOOKUP(Prognoseergebnis!G110-ROUNDDOWN('Erkrankungs- und Strukturdaten'!$C$14,0),$A:$D,$D$6,FALSE)*'Erkrankungs- und Strukturdaten'!$C$8,0)
+IF(G110&gt;'Erkrankungs- und Strukturdaten'!$C$15,VLOOKUP(Prognoseergebnis!G110-ROUNDDOWN('Erkrankungs- und Strukturdaten'!$C$15,0),A:D,$D$6,FALSE)*'Erkrankungs- und Strukturdaten'!$C$9,0)
-IF(G110&gt;'Erkrankungs- und Strukturdaten'!$C$15+'Erkrankungs- und Strukturdaten'!$C$16,VLOOKUP(Prognoseergebnis!G110-ROUNDDOWN('Erkrankungs- und Strukturdaten'!$C$15-'Erkrankungs- und Strukturdaten'!$C$16,0),A:D,$D$6,FALSE)*'Erkrankungs- und Strukturdaten'!$C$9,0),0)</f>
        <v>3162</v>
      </c>
      <c r="I110" s="5">
        <f>ROUND('Erkrankungs- und Strukturdaten'!$C$9*D110-IF(G110&gt;'Erkrankungs- und Strukturdaten'!$C$15,VLOOKUP(Prognoseergebnis!G110-'Erkrankungs- und Strukturdaten'!$C$15,$A:$D,$D$6,FALSE)*'Erkrankungs- und Strukturdaten'!$C$9,0),0)</f>
        <v>544</v>
      </c>
      <c r="J110" s="5">
        <f>I110*'Erkrankungs- und Strukturdaten'!$C$10/'Erkrankungs- und Strukturdaten'!$C$9</f>
        <v>266.56</v>
      </c>
      <c r="K110" s="5">
        <f>I110*'Erkrankungs- und Strukturdaten'!$C$21</f>
        <v>10880</v>
      </c>
      <c r="L110" s="11"/>
      <c r="M110" s="82">
        <f>SUM($K$66:K110)</f>
        <v>391100</v>
      </c>
      <c r="N110" s="9"/>
      <c r="O110" s="5">
        <f>IF(AND(((H110/'Erkrankungs- und Strukturdaten'!$C$25)*'Erkrankungs- und Strukturdaten'!$E$27)+(H110/'Erkrankungs- und Strukturdaten'!$C$26)&lt;1,((H110/'Erkrankungs- und Strukturdaten'!$C$25)*'Erkrankungs- und Strukturdaten'!$E$27)+(H110/'Erkrankungs- und Strukturdaten'!$C$26)&gt;0),1,((H110/'Erkrankungs- und Strukturdaten'!$C$25)*'Erkrankungs- und Strukturdaten'!$E$27)+(H110/'Erkrankungs- und Strukturdaten'!$C$26))</f>
        <v>1370.2</v>
      </c>
      <c r="P110" s="5">
        <f>ROUNDUP(((I110/'Erkrankungs- und Strukturdaten'!$C$28)*'Erkrankungs- und Strukturdaten'!$E$30)+(I110/'Erkrankungs- und Strukturdaten'!$C$29),0)</f>
        <v>591</v>
      </c>
      <c r="Q110" s="5">
        <f>ROUNDUP((H110/'Erkrankungs- und Strukturdaten'!$C$34*'Erkrankungs- und Strukturdaten'!$E$36)+(H110/'Erkrankungs- und Strukturdaten'!$C$35),0)</f>
        <v>220</v>
      </c>
      <c r="R110" s="5">
        <f>ROUNDUP((I110*'Erkrankungs- und Strukturdaten'!$C$40/'Erkrankungs- und Strukturdaten'!$C$38*'Erkrankungs- und Strukturdaten'!$E$39)+(I110*(1-'Erkrankungs- und Strukturdaten'!$C$40)/'Erkrankungs- und Strukturdaten'!$C$37*'Erkrankungs- und Strukturdaten'!$E$39),0)</f>
        <v>75</v>
      </c>
      <c r="S110" s="52"/>
      <c r="U110" s="44">
        <f>((H110/'Erkrankungs- und Strukturdaten'!$C$25)*'Erkrankungs- und Strukturdaten'!$E$27*'Erkrankungs- und Strukturdaten'!$F$27)+(H110/'Erkrankungs- und Strukturdaten'!$C$26*'Erkrankungs- und Strukturdaten'!$G$27)</f>
        <v>11277.8</v>
      </c>
      <c r="V110" s="44">
        <f>(I110/'Erkrankungs- und Strukturdaten'!$C$28*'Erkrankungs- und Strukturdaten'!$E$30*'Erkrankungs- und Strukturdaten'!$F$30)+(I110/'Erkrankungs- und Strukturdaten'!$C$29*'Erkrankungs- und Strukturdaten'!$G$30)</f>
        <v>4827.6114285714284</v>
      </c>
      <c r="AB110" s="2">
        <f t="shared" si="3"/>
        <v>44345</v>
      </c>
    </row>
    <row r="111" spans="1:28" ht="15" x14ac:dyDescent="0.2">
      <c r="A111" s="42">
        <v>102</v>
      </c>
      <c r="B111" s="370"/>
      <c r="C111" s="27">
        <f t="shared" si="4"/>
        <v>44346</v>
      </c>
      <c r="D111" s="6">
        <f>SUMIF('Fallzahlen (Berechnung)'!D:D,"&lt;="&amp;Prognoseergebnis!C111,'Fallzahlen (Berechnung)'!E:E)-'Fallzahlen (Berechnung)'!$E$1</f>
        <v>755645.70301437459</v>
      </c>
      <c r="E111" s="114">
        <f>VLOOKUP(C111,'Fallzahlen (Berechnung)'!$D:$E,'Fallzahlen (Berechnung)'!$E$1,FALSE)</f>
        <v>1971.2232544184483</v>
      </c>
      <c r="G111" s="18">
        <v>102</v>
      </c>
      <c r="H111" s="6">
        <f>ROUND('Erkrankungs- und Strukturdaten'!$C$8*D111-IF(G111&gt;'Erkrankungs- und Strukturdaten'!$C$14,VLOOKUP(Prognoseergebnis!G111-ROUNDDOWN('Erkrankungs- und Strukturdaten'!$C$14,0),$A:$D,$D$6,FALSE)*'Erkrankungs- und Strukturdaten'!$C$8,0)
+IF(G111&gt;'Erkrankungs- und Strukturdaten'!$C$15,VLOOKUP(Prognoseergebnis!G111-ROUNDDOWN('Erkrankungs- und Strukturdaten'!$C$15,0),A:D,$D$6,FALSE)*'Erkrankungs- und Strukturdaten'!$C$9,0)
-IF(G111&gt;'Erkrankungs- und Strukturdaten'!$C$15+'Erkrankungs- und Strukturdaten'!$C$16,VLOOKUP(Prognoseergebnis!G111-ROUNDDOWN('Erkrankungs- und Strukturdaten'!$C$15-'Erkrankungs- und Strukturdaten'!$C$16,0),A:D,$D$6,FALSE)*'Erkrankungs- und Strukturdaten'!$C$9,0),0)</f>
        <v>3172</v>
      </c>
      <c r="I111" s="6">
        <f>ROUND('Erkrankungs- und Strukturdaten'!$C$9*D111-IF(G111&gt;'Erkrankungs- und Strukturdaten'!$C$15,VLOOKUP(Prognoseergebnis!G111-'Erkrankungs- und Strukturdaten'!$C$15,$A:$D,$D$6,FALSE)*'Erkrankungs- und Strukturdaten'!$C$9,0),0)</f>
        <v>541</v>
      </c>
      <c r="J111" s="6">
        <f>I111*'Erkrankungs- und Strukturdaten'!$C$10/'Erkrankungs- und Strukturdaten'!$C$9</f>
        <v>265.09000000000003</v>
      </c>
      <c r="K111" s="6">
        <f>I111*'Erkrankungs- und Strukturdaten'!$C$21</f>
        <v>10820</v>
      </c>
      <c r="L111" s="11"/>
      <c r="M111" s="82">
        <f>SUM($K$66:K111)</f>
        <v>401920</v>
      </c>
      <c r="N111" s="9"/>
      <c r="O111" s="6">
        <f>IF(AND(((H111/'Erkrankungs- und Strukturdaten'!$C$25)*'Erkrankungs- und Strukturdaten'!$E$27)+(H111/'Erkrankungs- und Strukturdaten'!$C$26)&lt;1,((H111/'Erkrankungs- und Strukturdaten'!$C$25)*'Erkrankungs- und Strukturdaten'!$E$27)+(H111/'Erkrankungs- und Strukturdaten'!$C$26)&gt;0),1,((H111/'Erkrankungs- und Strukturdaten'!$C$25)*'Erkrankungs- und Strukturdaten'!$E$27)+(H111/'Erkrankungs- und Strukturdaten'!$C$26))</f>
        <v>1374.5333333333333</v>
      </c>
      <c r="P111" s="6">
        <f>ROUNDUP(((I111/'Erkrankungs- und Strukturdaten'!$C$28)*'Erkrankungs- und Strukturdaten'!$E$30)+(I111/'Erkrankungs- und Strukturdaten'!$C$29),0)</f>
        <v>588</v>
      </c>
      <c r="Q111" s="6">
        <f>ROUNDUP((H111/'Erkrankungs- und Strukturdaten'!$C$34*'Erkrankungs- und Strukturdaten'!$E$36)+(H111/'Erkrankungs- und Strukturdaten'!$C$35),0)</f>
        <v>221</v>
      </c>
      <c r="R111" s="6">
        <f>ROUNDUP((I111*'Erkrankungs- und Strukturdaten'!$C$40/'Erkrankungs- und Strukturdaten'!$C$38*'Erkrankungs- und Strukturdaten'!$E$39)+(I111*(1-'Erkrankungs- und Strukturdaten'!$C$40)/'Erkrankungs- und Strukturdaten'!$C$37*'Erkrankungs- und Strukturdaten'!$E$39),0)</f>
        <v>74</v>
      </c>
      <c r="S111" s="52"/>
      <c r="U111" s="44">
        <f>((H111/'Erkrankungs- und Strukturdaten'!$C$25)*'Erkrankungs- und Strukturdaten'!$E$27*'Erkrankungs- und Strukturdaten'!$F$27)+(H111/'Erkrankungs- und Strukturdaten'!$C$26*'Erkrankungs- und Strukturdaten'!$G$27)</f>
        <v>11313.466666666667</v>
      </c>
      <c r="V111" s="44">
        <f>(I111/'Erkrankungs- und Strukturdaten'!$C$28*'Erkrankungs- und Strukturdaten'!$E$30*'Erkrankungs- und Strukturdaten'!$F$30)+(I111/'Erkrankungs- und Strukturdaten'!$C$29*'Erkrankungs- und Strukturdaten'!$G$30)</f>
        <v>4800.988571428572</v>
      </c>
      <c r="AB111" s="2">
        <f t="shared" si="3"/>
        <v>44346</v>
      </c>
    </row>
    <row r="112" spans="1:28" ht="15" x14ac:dyDescent="0.2">
      <c r="A112" s="42">
        <v>103</v>
      </c>
      <c r="B112" s="370"/>
      <c r="C112" s="28">
        <f t="shared" si="4"/>
        <v>44347</v>
      </c>
      <c r="D112" s="5">
        <f>SUMIF('Fallzahlen (Berechnung)'!D:D,"&lt;="&amp;Prognoseergebnis!C112,'Fallzahlen (Berechnung)'!E:E)-'Fallzahlen (Berechnung)'!$E$1</f>
        <v>760063.74366858986</v>
      </c>
      <c r="E112" s="115">
        <f>VLOOKUP(C112,'Fallzahlen (Berechnung)'!$D:$E,'Fallzahlen (Berechnung)'!$E$1,FALSE)</f>
        <v>4418.0406542152377</v>
      </c>
      <c r="G112" s="18">
        <v>103</v>
      </c>
      <c r="H112" s="5">
        <f>ROUND('Erkrankungs- und Strukturdaten'!$C$8*D112-IF(G112&gt;'Erkrankungs- und Strukturdaten'!$C$14,VLOOKUP(Prognoseergebnis!G112-ROUNDDOWN('Erkrankungs- und Strukturdaten'!$C$14,0),$A:$D,$D$6,FALSE)*'Erkrankungs- und Strukturdaten'!$C$8,0)
+IF(G112&gt;'Erkrankungs- und Strukturdaten'!$C$15,VLOOKUP(Prognoseergebnis!G112-ROUNDDOWN('Erkrankungs- und Strukturdaten'!$C$15,0),A:D,$D$6,FALSE)*'Erkrankungs- und Strukturdaten'!$C$9,0)
-IF(G112&gt;'Erkrankungs- und Strukturdaten'!$C$15+'Erkrankungs- und Strukturdaten'!$C$16,VLOOKUP(Prognoseergebnis!G112-ROUNDDOWN('Erkrankungs- und Strukturdaten'!$C$15-'Erkrankungs- und Strukturdaten'!$C$16,0),A:D,$D$6,FALSE)*'Erkrankungs- und Strukturdaten'!$C$9,0),0)</f>
        <v>3211</v>
      </c>
      <c r="I112" s="5">
        <f>ROUND('Erkrankungs- und Strukturdaten'!$C$9*D112-IF(G112&gt;'Erkrankungs- und Strukturdaten'!$C$15,VLOOKUP(Prognoseergebnis!G112-'Erkrankungs- und Strukturdaten'!$C$15,$A:$D,$D$6,FALSE)*'Erkrankungs- und Strukturdaten'!$C$9,0),0)</f>
        <v>572</v>
      </c>
      <c r="J112" s="5">
        <f>I112*'Erkrankungs- und Strukturdaten'!$C$10/'Erkrankungs- und Strukturdaten'!$C$9</f>
        <v>280.28000000000003</v>
      </c>
      <c r="K112" s="5">
        <f>I112*'Erkrankungs- und Strukturdaten'!$C$21</f>
        <v>11440</v>
      </c>
      <c r="L112" s="11"/>
      <c r="M112" s="82">
        <f>SUM($K$66:K112)</f>
        <v>413360</v>
      </c>
      <c r="N112" s="9"/>
      <c r="O112" s="5">
        <f>IF(AND(((H112/'Erkrankungs- und Strukturdaten'!$C$25)*'Erkrankungs- und Strukturdaten'!$E$27)+(H112/'Erkrankungs- und Strukturdaten'!$C$26)&lt;1,((H112/'Erkrankungs- und Strukturdaten'!$C$25)*'Erkrankungs- und Strukturdaten'!$E$27)+(H112/'Erkrankungs- und Strukturdaten'!$C$26)&gt;0),1,((H112/'Erkrankungs- und Strukturdaten'!$C$25)*'Erkrankungs- und Strukturdaten'!$E$27)+(H112/'Erkrankungs- und Strukturdaten'!$C$26))</f>
        <v>1391.4333333333334</v>
      </c>
      <c r="P112" s="5">
        <f>ROUNDUP(((I112/'Erkrankungs- und Strukturdaten'!$C$28)*'Erkrankungs- und Strukturdaten'!$E$30)+(I112/'Erkrankungs- und Strukturdaten'!$C$29),0)</f>
        <v>622</v>
      </c>
      <c r="Q112" s="5">
        <f>ROUNDUP((H112/'Erkrankungs- und Strukturdaten'!$C$34*'Erkrankungs- und Strukturdaten'!$E$36)+(H112/'Erkrankungs- und Strukturdaten'!$C$35),0)</f>
        <v>223</v>
      </c>
      <c r="R112" s="5">
        <f>ROUNDUP((I112*'Erkrankungs- und Strukturdaten'!$C$40/'Erkrankungs- und Strukturdaten'!$C$38*'Erkrankungs- und Strukturdaten'!$E$39)+(I112*(1-'Erkrankungs- und Strukturdaten'!$C$40)/'Erkrankungs- und Strukturdaten'!$C$37*'Erkrankungs- und Strukturdaten'!$E$39),0)</f>
        <v>79</v>
      </c>
      <c r="S112" s="52"/>
      <c r="U112" s="44">
        <f>((H112/'Erkrankungs- und Strukturdaten'!$C$25)*'Erkrankungs- und Strukturdaten'!$E$27*'Erkrankungs- und Strukturdaten'!$F$27)+(H112/'Erkrankungs- und Strukturdaten'!$C$26*'Erkrankungs- und Strukturdaten'!$G$27)</f>
        <v>11452.566666666666</v>
      </c>
      <c r="V112" s="44">
        <f>(I112/'Erkrankungs- und Strukturdaten'!$C$28*'Erkrankungs- und Strukturdaten'!$E$30*'Erkrankungs- und Strukturdaten'!$F$30)+(I112/'Erkrankungs- und Strukturdaten'!$C$29*'Erkrankungs- und Strukturdaten'!$G$30)</f>
        <v>5076.0914285714289</v>
      </c>
      <c r="AB112" s="2">
        <f t="shared" si="3"/>
        <v>44347</v>
      </c>
    </row>
    <row r="113" spans="1:28" ht="15" x14ac:dyDescent="0.2">
      <c r="A113" s="42">
        <v>104</v>
      </c>
      <c r="B113" s="370"/>
      <c r="C113" s="27">
        <f t="shared" si="4"/>
        <v>44348</v>
      </c>
      <c r="D113" s="6">
        <f>SUMIF('Fallzahlen (Berechnung)'!D:D,"&lt;="&amp;Prognoseergebnis!C113,'Fallzahlen (Berechnung)'!E:E)-'Fallzahlen (Berechnung)'!$E$1</f>
        <v>764675.58097462845</v>
      </c>
      <c r="E113" s="114">
        <f>VLOOKUP(C113,'Fallzahlen (Berechnung)'!$D:$E,'Fallzahlen (Berechnung)'!$E$1,FALSE)</f>
        <v>4611.8373060386148</v>
      </c>
      <c r="G113" s="18">
        <v>104</v>
      </c>
      <c r="H113" s="6">
        <f>ROUND('Erkrankungs- und Strukturdaten'!$C$8*D113-IF(G113&gt;'Erkrankungs- und Strukturdaten'!$C$14,VLOOKUP(Prognoseergebnis!G113-ROUNDDOWN('Erkrankungs- und Strukturdaten'!$C$14,0),$A:$D,$D$6,FALSE)*'Erkrankungs- und Strukturdaten'!$C$8,0)
+IF(G113&gt;'Erkrankungs- und Strukturdaten'!$C$15,VLOOKUP(Prognoseergebnis!G113-ROUNDDOWN('Erkrankungs- und Strukturdaten'!$C$15,0),A:D,$D$6,FALSE)*'Erkrankungs- und Strukturdaten'!$C$9,0)
-IF(G113&gt;'Erkrankungs- und Strukturdaten'!$C$15+'Erkrankungs- und Strukturdaten'!$C$16,VLOOKUP(Prognoseergebnis!G113-ROUNDDOWN('Erkrankungs- und Strukturdaten'!$C$15-'Erkrankungs- und Strukturdaten'!$C$16,0),A:D,$D$6,FALSE)*'Erkrankungs- und Strukturdaten'!$C$9,0),0)</f>
        <v>3282</v>
      </c>
      <c r="I113" s="6">
        <f>ROUND('Erkrankungs- und Strukturdaten'!$C$9*D113-IF(G113&gt;'Erkrankungs- und Strukturdaten'!$C$15,VLOOKUP(Prognoseergebnis!G113-'Erkrankungs- und Strukturdaten'!$C$15,$A:$D,$D$6,FALSE)*'Erkrankungs- und Strukturdaten'!$C$9,0),0)</f>
        <v>581</v>
      </c>
      <c r="J113" s="6">
        <f>I113*'Erkrankungs- und Strukturdaten'!$C$10/'Erkrankungs- und Strukturdaten'!$C$9</f>
        <v>284.69</v>
      </c>
      <c r="K113" s="6">
        <f>I113*'Erkrankungs- und Strukturdaten'!$C$21</f>
        <v>11620</v>
      </c>
      <c r="L113" s="11"/>
      <c r="M113" s="82">
        <f>SUM($K$66:K113)</f>
        <v>424980</v>
      </c>
      <c r="N113" s="9"/>
      <c r="O113" s="6">
        <f>IF(AND(((H113/'Erkrankungs- und Strukturdaten'!$C$25)*'Erkrankungs- und Strukturdaten'!$E$27)+(H113/'Erkrankungs- und Strukturdaten'!$C$26)&lt;1,((H113/'Erkrankungs- und Strukturdaten'!$C$25)*'Erkrankungs- und Strukturdaten'!$E$27)+(H113/'Erkrankungs- und Strukturdaten'!$C$26)&gt;0),1,((H113/'Erkrankungs- und Strukturdaten'!$C$25)*'Erkrankungs- und Strukturdaten'!$E$27)+(H113/'Erkrankungs- und Strukturdaten'!$C$26))</f>
        <v>1422.2</v>
      </c>
      <c r="P113" s="6">
        <f>ROUNDUP(((I113/'Erkrankungs- und Strukturdaten'!$C$28)*'Erkrankungs- und Strukturdaten'!$E$30)+(I113/'Erkrankungs- und Strukturdaten'!$C$29),0)</f>
        <v>631</v>
      </c>
      <c r="Q113" s="6">
        <f>ROUNDUP((H113/'Erkrankungs- und Strukturdaten'!$C$34*'Erkrankungs- und Strukturdaten'!$E$36)+(H113/'Erkrankungs- und Strukturdaten'!$C$35),0)</f>
        <v>228</v>
      </c>
      <c r="R113" s="6">
        <f>ROUNDUP((I113*'Erkrankungs- und Strukturdaten'!$C$40/'Erkrankungs- und Strukturdaten'!$C$38*'Erkrankungs- und Strukturdaten'!$E$39)+(I113*(1-'Erkrankungs- und Strukturdaten'!$C$40)/'Erkrankungs- und Strukturdaten'!$C$37*'Erkrankungs- und Strukturdaten'!$E$39),0)</f>
        <v>80</v>
      </c>
      <c r="S113" s="52"/>
      <c r="U113" s="44">
        <f>((H113/'Erkrankungs- und Strukturdaten'!$C$25)*'Erkrankungs- und Strukturdaten'!$E$27*'Erkrankungs- und Strukturdaten'!$F$27)+(H113/'Erkrankungs- und Strukturdaten'!$C$26*'Erkrankungs- und Strukturdaten'!$G$27)</f>
        <v>11705.800000000001</v>
      </c>
      <c r="V113" s="44">
        <f>(I113/'Erkrankungs- und Strukturdaten'!$C$28*'Erkrankungs- und Strukturdaten'!$E$30*'Erkrankungs- und Strukturdaten'!$F$30)+(I113/'Erkrankungs- und Strukturdaten'!$C$29*'Erkrankungs- und Strukturdaten'!$G$30)</f>
        <v>5155.96</v>
      </c>
      <c r="AB113" s="2">
        <f t="shared" si="3"/>
        <v>44348</v>
      </c>
    </row>
    <row r="114" spans="1:28" ht="15" x14ac:dyDescent="0.2">
      <c r="A114" s="42">
        <v>105</v>
      </c>
      <c r="B114" s="370"/>
      <c r="C114" s="29">
        <f t="shared" si="4"/>
        <v>44349</v>
      </c>
      <c r="D114" s="30">
        <f>SUMIF('Fallzahlen (Berechnung)'!D:D,"&lt;="&amp;Prognoseergebnis!C114,'Fallzahlen (Berechnung)'!E:E)-'Fallzahlen (Berechnung)'!$E$1</f>
        <v>768917.15989480237</v>
      </c>
      <c r="E114" s="117">
        <f>VLOOKUP(C114,'Fallzahlen (Berechnung)'!$D:$E,'Fallzahlen (Berechnung)'!$E$1,FALSE)</f>
        <v>4241.5789201739308</v>
      </c>
      <c r="G114" s="18">
        <v>105</v>
      </c>
      <c r="H114" s="30">
        <f>ROUND('Erkrankungs- und Strukturdaten'!$C$8*D114-IF(G114&gt;'Erkrankungs- und Strukturdaten'!$C$14,VLOOKUP(Prognoseergebnis!G114-ROUNDDOWN('Erkrankungs- und Strukturdaten'!$C$14,0),$A:$D,$D$6,FALSE)*'Erkrankungs- und Strukturdaten'!$C$8,0)
+IF(G114&gt;'Erkrankungs- und Strukturdaten'!$C$15,VLOOKUP(Prognoseergebnis!G114-ROUNDDOWN('Erkrankungs- und Strukturdaten'!$C$15,0),A:D,$D$6,FALSE)*'Erkrankungs- und Strukturdaten'!$C$9,0)
-IF(G114&gt;'Erkrankungs- und Strukturdaten'!$C$15+'Erkrankungs- und Strukturdaten'!$C$16,VLOOKUP(Prognoseergebnis!G114-ROUNDDOWN('Erkrankungs- und Strukturdaten'!$C$15-'Erkrankungs- und Strukturdaten'!$C$16,0),A:D,$D$6,FALSE)*'Erkrankungs- und Strukturdaten'!$C$9,0),0)</f>
        <v>3326</v>
      </c>
      <c r="I114" s="30">
        <f>ROUND('Erkrankungs- und Strukturdaten'!$C$9*D114-IF(G114&gt;'Erkrankungs- und Strukturdaten'!$C$15,VLOOKUP(Prognoseergebnis!G114-'Erkrankungs- und Strukturdaten'!$C$15,$A:$D,$D$6,FALSE)*'Erkrankungs- und Strukturdaten'!$C$9,0),0)</f>
        <v>585</v>
      </c>
      <c r="J114" s="30">
        <f>I114*'Erkrankungs- und Strukturdaten'!$C$10/'Erkrankungs- und Strukturdaten'!$C$9</f>
        <v>286.64999999999998</v>
      </c>
      <c r="K114" s="30">
        <f>I114*'Erkrankungs- und Strukturdaten'!$C$21</f>
        <v>11700</v>
      </c>
      <c r="L114" s="11"/>
      <c r="M114" s="82">
        <f>SUM($K$66:K114)</f>
        <v>436680</v>
      </c>
      <c r="N114" s="9"/>
      <c r="O114" s="30">
        <f>IF(AND(((H114/'Erkrankungs- und Strukturdaten'!$C$25)*'Erkrankungs- und Strukturdaten'!$E$27)+(H114/'Erkrankungs- und Strukturdaten'!$C$26)&lt;1,((H114/'Erkrankungs- und Strukturdaten'!$C$25)*'Erkrankungs- und Strukturdaten'!$E$27)+(H114/'Erkrankungs- und Strukturdaten'!$C$26)&gt;0),1,((H114/'Erkrankungs- und Strukturdaten'!$C$25)*'Erkrankungs- und Strukturdaten'!$E$27)+(H114/'Erkrankungs- und Strukturdaten'!$C$26))</f>
        <v>1441.2666666666669</v>
      </c>
      <c r="P114" s="30">
        <f>ROUNDUP(((I114/'Erkrankungs- und Strukturdaten'!$C$28)*'Erkrankungs- und Strukturdaten'!$E$30)+(I114/'Erkrankungs- und Strukturdaten'!$C$29),0)</f>
        <v>636</v>
      </c>
      <c r="Q114" s="30">
        <f>ROUNDUP((H114/'Erkrankungs- und Strukturdaten'!$C$34*'Erkrankungs- und Strukturdaten'!$E$36)+(H114/'Erkrankungs- und Strukturdaten'!$C$35),0)</f>
        <v>231</v>
      </c>
      <c r="R114" s="30">
        <f>ROUNDUP((I114*'Erkrankungs- und Strukturdaten'!$C$40/'Erkrankungs- und Strukturdaten'!$C$38*'Erkrankungs- und Strukturdaten'!$E$39)+(I114*(1-'Erkrankungs- und Strukturdaten'!$C$40)/'Erkrankungs- und Strukturdaten'!$C$37*'Erkrankungs- und Strukturdaten'!$E$39),0)</f>
        <v>80</v>
      </c>
      <c r="S114" s="52"/>
      <c r="U114" s="44">
        <f>((H114/'Erkrankungs- und Strukturdaten'!$C$25)*'Erkrankungs- und Strukturdaten'!$E$27*'Erkrankungs- und Strukturdaten'!$F$27)+(H114/'Erkrankungs- und Strukturdaten'!$C$26*'Erkrankungs- und Strukturdaten'!$G$27)</f>
        <v>11862.733333333334</v>
      </c>
      <c r="V114" s="44">
        <f>(I114/'Erkrankungs- und Strukturdaten'!$C$28*'Erkrankungs- und Strukturdaten'!$E$30*'Erkrankungs- und Strukturdaten'!$F$30)+(I114/'Erkrankungs- und Strukturdaten'!$C$29*'Erkrankungs- und Strukturdaten'!$G$30)</f>
        <v>5191.4571428571426</v>
      </c>
      <c r="AB114" s="2">
        <f t="shared" si="3"/>
        <v>44349</v>
      </c>
    </row>
    <row r="115" spans="1:28" ht="14.85" customHeight="1" x14ac:dyDescent="0.2">
      <c r="A115" s="42">
        <v>106</v>
      </c>
      <c r="B115" s="371" t="s">
        <v>37</v>
      </c>
      <c r="C115" s="76">
        <f t="shared" si="4"/>
        <v>44350</v>
      </c>
      <c r="D115" s="77">
        <f>SUMIF('Fallzahlen (Berechnung)'!D:D,"&lt;="&amp;Prognoseergebnis!C115,'Fallzahlen (Berechnung)'!E:E)-'Fallzahlen (Berechnung)'!$E$1</f>
        <v>773200.43920849531</v>
      </c>
      <c r="E115" s="118">
        <f>VLOOKUP(C115,'Fallzahlen (Berechnung)'!$D:$E,'Fallzahlen (Berechnung)'!$E$1,FALSE)</f>
        <v>4283.279313692934</v>
      </c>
      <c r="G115" s="18">
        <v>106</v>
      </c>
      <c r="H115" s="77">
        <f>ROUND('Erkrankungs- und Strukturdaten'!$C$8*D115-IF(G115&gt;'Erkrankungs- und Strukturdaten'!$C$14,VLOOKUP(Prognoseergebnis!G115-ROUNDDOWN('Erkrankungs- und Strukturdaten'!$C$14,0),$A:$D,$D$6,FALSE)*'Erkrankungs- und Strukturdaten'!$C$8,0)
+IF(G115&gt;'Erkrankungs- und Strukturdaten'!$C$15,VLOOKUP(Prognoseergebnis!G115-ROUNDDOWN('Erkrankungs- und Strukturdaten'!$C$15,0),A:D,$D$6,FALSE)*'Erkrankungs- und Strukturdaten'!$C$9,0)
-IF(G115&gt;'Erkrankungs- und Strukturdaten'!$C$15+'Erkrankungs- und Strukturdaten'!$C$16,VLOOKUP(Prognoseergebnis!G115-ROUNDDOWN('Erkrankungs- und Strukturdaten'!$C$15-'Erkrankungs- und Strukturdaten'!$C$16,0),A:D,$D$6,FALSE)*'Erkrankungs- und Strukturdaten'!$C$9,0),0)</f>
        <v>3365</v>
      </c>
      <c r="I115" s="77">
        <f>ROUND('Erkrankungs- und Strukturdaten'!$C$9*D115-IF(G115&gt;'Erkrankungs- und Strukturdaten'!$C$15,VLOOKUP(Prognoseergebnis!G115-'Erkrankungs- und Strukturdaten'!$C$15,$A:$D,$D$6,FALSE)*'Erkrankungs- und Strukturdaten'!$C$9,0),0)</f>
        <v>592</v>
      </c>
      <c r="J115" s="77">
        <f>I115*'Erkrankungs- und Strukturdaten'!$C$10/'Erkrankungs- und Strukturdaten'!$C$9</f>
        <v>290.08</v>
      </c>
      <c r="K115" s="77">
        <f>I115*'Erkrankungs- und Strukturdaten'!$C$21</f>
        <v>11840</v>
      </c>
      <c r="L115" s="11"/>
      <c r="M115" s="82">
        <f>SUM($K$66:K115)</f>
        <v>448520</v>
      </c>
      <c r="N115" s="9"/>
      <c r="O115" s="77">
        <f>IF(AND(((H115/'Erkrankungs- und Strukturdaten'!$C$25)*'Erkrankungs- und Strukturdaten'!$E$27)+(H115/'Erkrankungs- und Strukturdaten'!$C$26)&lt;1,((H115/'Erkrankungs- und Strukturdaten'!$C$25)*'Erkrankungs- und Strukturdaten'!$E$27)+(H115/'Erkrankungs- und Strukturdaten'!$C$26)&gt;0),1,((H115/'Erkrankungs- und Strukturdaten'!$C$25)*'Erkrankungs- und Strukturdaten'!$E$27)+(H115/'Erkrankungs- und Strukturdaten'!$C$26))</f>
        <v>1458.1666666666667</v>
      </c>
      <c r="P115" s="77">
        <f>ROUNDUP(((I115/'Erkrankungs- und Strukturdaten'!$C$28)*'Erkrankungs- und Strukturdaten'!$E$30)+(I115/'Erkrankungs- und Strukturdaten'!$C$29),0)</f>
        <v>643</v>
      </c>
      <c r="Q115" s="77">
        <f>ROUNDUP((H115/'Erkrankungs- und Strukturdaten'!$C$34*'Erkrankungs- und Strukturdaten'!$E$36)+(H115/'Erkrankungs- und Strukturdaten'!$C$35),0)</f>
        <v>234</v>
      </c>
      <c r="R115" s="77">
        <f>ROUNDUP((I115*'Erkrankungs- und Strukturdaten'!$C$40/'Erkrankungs- und Strukturdaten'!$C$38*'Erkrankungs- und Strukturdaten'!$E$39)+(I115*(1-'Erkrankungs- und Strukturdaten'!$C$40)/'Erkrankungs- und Strukturdaten'!$C$37*'Erkrankungs- und Strukturdaten'!$E$39),0)</f>
        <v>81</v>
      </c>
      <c r="S115" s="52"/>
      <c r="U115" s="44">
        <f>((H115/'Erkrankungs- und Strukturdaten'!$C$25)*'Erkrankungs- und Strukturdaten'!$E$27*'Erkrankungs- und Strukturdaten'!$F$27)+(H115/'Erkrankungs- und Strukturdaten'!$C$26*'Erkrankungs- und Strukturdaten'!$G$27)</f>
        <v>12001.833333333334</v>
      </c>
      <c r="V115" s="44">
        <f>(I115/'Erkrankungs- und Strukturdaten'!$C$28*'Erkrankungs- und Strukturdaten'!$E$30*'Erkrankungs- und Strukturdaten'!$F$30)+(I115/'Erkrankungs- und Strukturdaten'!$C$29*'Erkrankungs- und Strukturdaten'!$G$30)</f>
        <v>5253.5771428571434</v>
      </c>
      <c r="AB115" s="2">
        <f t="shared" si="3"/>
        <v>44350</v>
      </c>
    </row>
    <row r="116" spans="1:28" ht="15" x14ac:dyDescent="0.2">
      <c r="A116" s="42">
        <v>107</v>
      </c>
      <c r="B116" s="371"/>
      <c r="C116" s="28">
        <f t="shared" si="4"/>
        <v>44351</v>
      </c>
      <c r="D116" s="5">
        <f>SUMIF('Fallzahlen (Berechnung)'!D:D,"&lt;="&amp;Prognoseergebnis!C116,'Fallzahlen (Berechnung)'!E:E)-'Fallzahlen (Berechnung)'!$E$1</f>
        <v>776953.08919639944</v>
      </c>
      <c r="E116" s="115">
        <f>VLOOKUP(C116,'Fallzahlen (Berechnung)'!$D:$E,'Fallzahlen (Berechnung)'!$E$1,FALSE)</f>
        <v>3752.649987904103</v>
      </c>
      <c r="G116" s="18">
        <v>107</v>
      </c>
      <c r="H116" s="5">
        <f>ROUND('Erkrankungs- und Strukturdaten'!$C$8*D116-IF(G116&gt;'Erkrankungs- und Strukturdaten'!$C$14,VLOOKUP(Prognoseergebnis!G116-ROUNDDOWN('Erkrankungs- und Strukturdaten'!$C$14,0),$A:$D,$D$6,FALSE)*'Erkrankungs- und Strukturdaten'!$C$8,0)
+IF(G116&gt;'Erkrankungs- und Strukturdaten'!$C$15,VLOOKUP(Prognoseergebnis!G116-ROUNDDOWN('Erkrankungs- und Strukturdaten'!$C$15,0),A:D,$D$6,FALSE)*'Erkrankungs- und Strukturdaten'!$C$9,0)
-IF(G116&gt;'Erkrankungs- und Strukturdaten'!$C$15+'Erkrankungs- und Strukturdaten'!$C$16,VLOOKUP(Prognoseergebnis!G116-ROUNDDOWN('Erkrankungs- und Strukturdaten'!$C$15-'Erkrankungs- und Strukturdaten'!$C$16,0),A:D,$D$6,FALSE)*'Erkrankungs- und Strukturdaten'!$C$9,0),0)</f>
        <v>3403</v>
      </c>
      <c r="I116" s="5">
        <f>ROUND('Erkrankungs- und Strukturdaten'!$C$9*D116-IF(G116&gt;'Erkrankungs- und Strukturdaten'!$C$15,VLOOKUP(Prognoseergebnis!G116-'Erkrankungs- und Strukturdaten'!$C$15,$A:$D,$D$6,FALSE)*'Erkrankungs- und Strukturdaten'!$C$9,0),0)</f>
        <v>593</v>
      </c>
      <c r="J116" s="5">
        <f>I116*'Erkrankungs- und Strukturdaten'!$C$10/'Erkrankungs- und Strukturdaten'!$C$9</f>
        <v>290.57</v>
      </c>
      <c r="K116" s="5">
        <f>I116*'Erkrankungs- und Strukturdaten'!$C$21</f>
        <v>11860</v>
      </c>
      <c r="L116" s="11"/>
      <c r="M116" s="82">
        <f>SUM($K$66:K116)</f>
        <v>460380</v>
      </c>
      <c r="N116" s="9"/>
      <c r="O116" s="5">
        <f>IF(AND(((H116/'Erkrankungs- und Strukturdaten'!$C$25)*'Erkrankungs- und Strukturdaten'!$E$27)+(H116/'Erkrankungs- und Strukturdaten'!$C$26)&lt;1,((H116/'Erkrankungs- und Strukturdaten'!$C$25)*'Erkrankungs- und Strukturdaten'!$E$27)+(H116/'Erkrankungs- und Strukturdaten'!$C$26)&gt;0),1,((H116/'Erkrankungs- und Strukturdaten'!$C$25)*'Erkrankungs- und Strukturdaten'!$E$27)+(H116/'Erkrankungs- und Strukturdaten'!$C$26))</f>
        <v>1474.6333333333332</v>
      </c>
      <c r="P116" s="5">
        <f>ROUNDUP(((I116/'Erkrankungs- und Strukturdaten'!$C$28)*'Erkrankungs- und Strukturdaten'!$E$30)+(I116/'Erkrankungs- und Strukturdaten'!$C$29),0)</f>
        <v>644</v>
      </c>
      <c r="Q116" s="5">
        <f>ROUNDUP((H116/'Erkrankungs- und Strukturdaten'!$C$34*'Erkrankungs- und Strukturdaten'!$E$36)+(H116/'Erkrankungs- und Strukturdaten'!$C$35),0)</f>
        <v>237</v>
      </c>
      <c r="R116" s="5">
        <f>ROUNDUP((I116*'Erkrankungs- und Strukturdaten'!$C$40/'Erkrankungs- und Strukturdaten'!$C$38*'Erkrankungs- und Strukturdaten'!$E$39)+(I116*(1-'Erkrankungs- und Strukturdaten'!$C$40)/'Erkrankungs- und Strukturdaten'!$C$37*'Erkrankungs- und Strukturdaten'!$E$39),0)</f>
        <v>82</v>
      </c>
      <c r="S116" s="52"/>
      <c r="U116" s="44">
        <f>((H116/'Erkrankungs- und Strukturdaten'!$C$25)*'Erkrankungs- und Strukturdaten'!$E$27*'Erkrankungs- und Strukturdaten'!$F$27)+(H116/'Erkrankungs- und Strukturdaten'!$C$26*'Erkrankungs- und Strukturdaten'!$G$27)</f>
        <v>12137.366666666667</v>
      </c>
      <c r="V116" s="44">
        <f>(I116/'Erkrankungs- und Strukturdaten'!$C$28*'Erkrankungs- und Strukturdaten'!$E$30*'Erkrankungs- und Strukturdaten'!$F$30)+(I116/'Erkrankungs- und Strukturdaten'!$C$29*'Erkrankungs- und Strukturdaten'!$G$30)</f>
        <v>5262.4514285714286</v>
      </c>
      <c r="AB116" s="2">
        <f t="shared" si="3"/>
        <v>44351</v>
      </c>
    </row>
    <row r="117" spans="1:28" ht="15" x14ac:dyDescent="0.2">
      <c r="A117" s="42">
        <v>108</v>
      </c>
      <c r="B117" s="371"/>
      <c r="C117" s="27">
        <f t="shared" si="4"/>
        <v>44352</v>
      </c>
      <c r="D117" s="6">
        <f>SUMIF('Fallzahlen (Berechnung)'!D:D,"&lt;="&amp;Prognoseergebnis!C117,'Fallzahlen (Berechnung)'!E:E)-'Fallzahlen (Berechnung)'!$E$1</f>
        <v>779772.8796394841</v>
      </c>
      <c r="E117" s="114">
        <f>VLOOKUP(C117,'Fallzahlen (Berechnung)'!$D:$E,'Fallzahlen (Berechnung)'!$E$1,FALSE)</f>
        <v>2819.790443084637</v>
      </c>
      <c r="G117" s="18">
        <v>108</v>
      </c>
      <c r="H117" s="6">
        <f>ROUND('Erkrankungs- und Strukturdaten'!$C$8*D117-IF(G117&gt;'Erkrankungs- und Strukturdaten'!$C$14,VLOOKUP(Prognoseergebnis!G117-ROUNDDOWN('Erkrankungs- und Strukturdaten'!$C$14,0),$A:$D,$D$6,FALSE)*'Erkrankungs- und Strukturdaten'!$C$8,0)
+IF(G117&gt;'Erkrankungs- und Strukturdaten'!$C$15,VLOOKUP(Prognoseergebnis!G117-ROUNDDOWN('Erkrankungs- und Strukturdaten'!$C$15,0),A:D,$D$6,FALSE)*'Erkrankungs- und Strukturdaten'!$C$9,0)
-IF(G117&gt;'Erkrankungs- und Strukturdaten'!$C$15+'Erkrankungs- und Strukturdaten'!$C$16,VLOOKUP(Prognoseergebnis!G117-ROUNDDOWN('Erkrankungs- und Strukturdaten'!$C$15-'Erkrankungs- und Strukturdaten'!$C$16,0),A:D,$D$6,FALSE)*'Erkrankungs- und Strukturdaten'!$C$9,0),0)</f>
        <v>3425</v>
      </c>
      <c r="I117" s="6">
        <f>ROUND('Erkrankungs- und Strukturdaten'!$C$9*D117-IF(G117&gt;'Erkrankungs- und Strukturdaten'!$C$15,VLOOKUP(Prognoseergebnis!G117-'Erkrankungs- und Strukturdaten'!$C$15,$A:$D,$D$6,FALSE)*'Erkrankungs- und Strukturdaten'!$C$9,0),0)</f>
        <v>589</v>
      </c>
      <c r="J117" s="6">
        <f>I117*'Erkrankungs- und Strukturdaten'!$C$10/'Erkrankungs- und Strukturdaten'!$C$9</f>
        <v>288.60999999999996</v>
      </c>
      <c r="K117" s="6">
        <f>I117*'Erkrankungs- und Strukturdaten'!$C$21</f>
        <v>11780</v>
      </c>
      <c r="L117" s="11"/>
      <c r="M117" s="82">
        <f>SUM($K$66:K117)</f>
        <v>472160</v>
      </c>
      <c r="N117" s="9"/>
      <c r="O117" s="6">
        <f>IF(AND(((H117/'Erkrankungs- und Strukturdaten'!$C$25)*'Erkrankungs- und Strukturdaten'!$E$27)+(H117/'Erkrankungs- und Strukturdaten'!$C$26)&lt;1,((H117/'Erkrankungs- und Strukturdaten'!$C$25)*'Erkrankungs- und Strukturdaten'!$E$27)+(H117/'Erkrankungs- und Strukturdaten'!$C$26)&gt;0),1,((H117/'Erkrankungs- und Strukturdaten'!$C$25)*'Erkrankungs- und Strukturdaten'!$E$27)+(H117/'Erkrankungs- und Strukturdaten'!$C$26))</f>
        <v>1484.1666666666667</v>
      </c>
      <c r="P117" s="6">
        <f>ROUNDUP(((I117/'Erkrankungs- und Strukturdaten'!$C$28)*'Erkrankungs- und Strukturdaten'!$E$30)+(I117/'Erkrankungs- und Strukturdaten'!$C$29),0)</f>
        <v>640</v>
      </c>
      <c r="Q117" s="6">
        <f>ROUNDUP((H117/'Erkrankungs- und Strukturdaten'!$C$34*'Erkrankungs- und Strukturdaten'!$E$36)+(H117/'Erkrankungs- und Strukturdaten'!$C$35),0)</f>
        <v>238</v>
      </c>
      <c r="R117" s="6">
        <f>ROUNDUP((I117*'Erkrankungs- und Strukturdaten'!$C$40/'Erkrankungs- und Strukturdaten'!$C$38*'Erkrankungs- und Strukturdaten'!$E$39)+(I117*(1-'Erkrankungs- und Strukturdaten'!$C$40)/'Erkrankungs- und Strukturdaten'!$C$37*'Erkrankungs- und Strukturdaten'!$E$39),0)</f>
        <v>81</v>
      </c>
      <c r="S117" s="52"/>
      <c r="U117" s="44">
        <f>((H117/'Erkrankungs- und Strukturdaten'!$C$25)*'Erkrankungs- und Strukturdaten'!$E$27*'Erkrankungs- und Strukturdaten'!$F$27)+(H117/'Erkrankungs- und Strukturdaten'!$C$26*'Erkrankungs- und Strukturdaten'!$G$27)</f>
        <v>12215.833333333334</v>
      </c>
      <c r="V117" s="44">
        <f>(I117/'Erkrankungs- und Strukturdaten'!$C$28*'Erkrankungs- und Strukturdaten'!$E$30*'Erkrankungs- und Strukturdaten'!$F$30)+(I117/'Erkrankungs- und Strukturdaten'!$C$29*'Erkrankungs- und Strukturdaten'!$G$30)</f>
        <v>5226.9542857142851</v>
      </c>
      <c r="AB117" s="2">
        <f t="shared" si="3"/>
        <v>44352</v>
      </c>
    </row>
    <row r="118" spans="1:28" ht="15" x14ac:dyDescent="0.2">
      <c r="A118" s="42">
        <v>109</v>
      </c>
      <c r="B118" s="371"/>
      <c r="C118" s="28">
        <f t="shared" si="4"/>
        <v>44353</v>
      </c>
      <c r="D118" s="5">
        <f>SUMIF('Fallzahlen (Berechnung)'!D:D,"&lt;="&amp;Prognoseergebnis!C118,'Fallzahlen (Berechnung)'!E:E)-'Fallzahlen (Berechnung)'!$E$1</f>
        <v>781908.01650585036</v>
      </c>
      <c r="E118" s="115">
        <f>VLOOKUP(C118,'Fallzahlen (Berechnung)'!$D:$E,'Fallzahlen (Berechnung)'!$E$1,FALSE)</f>
        <v>2135.1368663662552</v>
      </c>
      <c r="G118" s="18">
        <v>109</v>
      </c>
      <c r="H118" s="5">
        <f>ROUND('Erkrankungs- und Strukturdaten'!$C$8*D118-IF(G118&gt;'Erkrankungs- und Strukturdaten'!$C$14,VLOOKUP(Prognoseergebnis!G118-ROUNDDOWN('Erkrankungs- und Strukturdaten'!$C$14,0),$A:$D,$D$6,FALSE)*'Erkrankungs- und Strukturdaten'!$C$8,0)
+IF(G118&gt;'Erkrankungs- und Strukturdaten'!$C$15,VLOOKUP(Prognoseergebnis!G118-ROUNDDOWN('Erkrankungs- und Strukturdaten'!$C$15,0),A:D,$D$6,FALSE)*'Erkrankungs- und Strukturdaten'!$C$9,0)
-IF(G118&gt;'Erkrankungs- und Strukturdaten'!$C$15+'Erkrankungs- und Strukturdaten'!$C$16,VLOOKUP(Prognoseergebnis!G118-ROUNDDOWN('Erkrankungs- und Strukturdaten'!$C$15-'Erkrankungs- und Strukturdaten'!$C$16,0),A:D,$D$6,FALSE)*'Erkrankungs- und Strukturdaten'!$C$9,0),0)</f>
        <v>3436</v>
      </c>
      <c r="I118" s="5">
        <f>ROUND('Erkrankungs- und Strukturdaten'!$C$9*D118-IF(G118&gt;'Erkrankungs- und Strukturdaten'!$C$15,VLOOKUP(Prognoseergebnis!G118-'Erkrankungs- und Strukturdaten'!$C$15,$A:$D,$D$6,FALSE)*'Erkrankungs- und Strukturdaten'!$C$9,0),0)</f>
        <v>586</v>
      </c>
      <c r="J118" s="5">
        <f>I118*'Erkrankungs- und Strukturdaten'!$C$10/'Erkrankungs- und Strukturdaten'!$C$9</f>
        <v>287.14</v>
      </c>
      <c r="K118" s="5">
        <f>I118*'Erkrankungs- und Strukturdaten'!$C$21</f>
        <v>11720</v>
      </c>
      <c r="L118" s="11"/>
      <c r="M118" s="82">
        <f>SUM($K$66:K118)</f>
        <v>483880</v>
      </c>
      <c r="N118" s="9"/>
      <c r="O118" s="5">
        <f>IF(AND(((H118/'Erkrankungs- und Strukturdaten'!$C$25)*'Erkrankungs- und Strukturdaten'!$E$27)+(H118/'Erkrankungs- und Strukturdaten'!$C$26)&lt;1,((H118/'Erkrankungs- und Strukturdaten'!$C$25)*'Erkrankungs- und Strukturdaten'!$E$27)+(H118/'Erkrankungs- und Strukturdaten'!$C$26)&gt;0),1,((H118/'Erkrankungs- und Strukturdaten'!$C$25)*'Erkrankungs- und Strukturdaten'!$E$27)+(H118/'Erkrankungs- und Strukturdaten'!$C$26))</f>
        <v>1488.9333333333334</v>
      </c>
      <c r="P118" s="5">
        <f>ROUNDUP(((I118/'Erkrankungs- und Strukturdaten'!$C$28)*'Erkrankungs- und Strukturdaten'!$E$30)+(I118/'Erkrankungs- und Strukturdaten'!$C$29),0)</f>
        <v>637</v>
      </c>
      <c r="Q118" s="5">
        <f>ROUNDUP((H118/'Erkrankungs- und Strukturdaten'!$C$34*'Erkrankungs- und Strukturdaten'!$E$36)+(H118/'Erkrankungs- und Strukturdaten'!$C$35),0)</f>
        <v>239</v>
      </c>
      <c r="R118" s="5">
        <f>ROUNDUP((I118*'Erkrankungs- und Strukturdaten'!$C$40/'Erkrankungs- und Strukturdaten'!$C$38*'Erkrankungs- und Strukturdaten'!$E$39)+(I118*(1-'Erkrankungs- und Strukturdaten'!$C$40)/'Erkrankungs- und Strukturdaten'!$C$37*'Erkrankungs- und Strukturdaten'!$E$39),0)</f>
        <v>81</v>
      </c>
      <c r="S118" s="52"/>
      <c r="U118" s="44">
        <f>((H118/'Erkrankungs- und Strukturdaten'!$C$25)*'Erkrankungs- und Strukturdaten'!$E$27*'Erkrankungs- und Strukturdaten'!$F$27)+(H118/'Erkrankungs- und Strukturdaten'!$C$26*'Erkrankungs- und Strukturdaten'!$G$27)</f>
        <v>12255.066666666666</v>
      </c>
      <c r="V118" s="44">
        <f>(I118/'Erkrankungs- und Strukturdaten'!$C$28*'Erkrankungs- und Strukturdaten'!$E$30*'Erkrankungs- und Strukturdaten'!$F$30)+(I118/'Erkrankungs- und Strukturdaten'!$C$29*'Erkrankungs- und Strukturdaten'!$G$30)</f>
        <v>5200.3314285714287</v>
      </c>
      <c r="AB118" s="2">
        <f t="shared" si="3"/>
        <v>44353</v>
      </c>
    </row>
    <row r="119" spans="1:28" ht="15" x14ac:dyDescent="0.2">
      <c r="A119" s="42">
        <v>110</v>
      </c>
      <c r="B119" s="371"/>
      <c r="C119" s="27">
        <f t="shared" si="4"/>
        <v>44354</v>
      </c>
      <c r="D119" s="6">
        <f>SUMIF('Fallzahlen (Berechnung)'!D:D,"&lt;="&amp;Prognoseergebnis!C119,'Fallzahlen (Berechnung)'!E:E)-'Fallzahlen (Berechnung)'!$E$1</f>
        <v>786693.47691977315</v>
      </c>
      <c r="E119" s="114">
        <f>VLOOKUP(C119,'Fallzahlen (Berechnung)'!$D:$E,'Fallzahlen (Berechnung)'!$E$1,FALSE)</f>
        <v>4785.4604139228304</v>
      </c>
      <c r="G119" s="18">
        <v>110</v>
      </c>
      <c r="H119" s="6">
        <f>ROUND('Erkrankungs- und Strukturdaten'!$C$8*D119-IF(G119&gt;'Erkrankungs- und Strukturdaten'!$C$14,VLOOKUP(Prognoseergebnis!G119-ROUNDDOWN('Erkrankungs- und Strukturdaten'!$C$14,0),$A:$D,$D$6,FALSE)*'Erkrankungs- und Strukturdaten'!$C$8,0)
+IF(G119&gt;'Erkrankungs- und Strukturdaten'!$C$15,VLOOKUP(Prognoseergebnis!G119-ROUNDDOWN('Erkrankungs- und Strukturdaten'!$C$15,0),A:D,$D$6,FALSE)*'Erkrankungs- und Strukturdaten'!$C$9,0)
-IF(G119&gt;'Erkrankungs- und Strukturdaten'!$C$15+'Erkrankungs- und Strukturdaten'!$C$16,VLOOKUP(Prognoseergebnis!G119-ROUNDDOWN('Erkrankungs- und Strukturdaten'!$C$15-'Erkrankungs- und Strukturdaten'!$C$16,0),A:D,$D$6,FALSE)*'Erkrankungs- und Strukturdaten'!$C$9,0),0)</f>
        <v>3479</v>
      </c>
      <c r="I119" s="6">
        <f>ROUND('Erkrankungs- und Strukturdaten'!$C$9*D119-IF(G119&gt;'Erkrankungs- und Strukturdaten'!$C$15,VLOOKUP(Prognoseergebnis!G119-'Erkrankungs- und Strukturdaten'!$C$15,$A:$D,$D$6,FALSE)*'Erkrankungs- und Strukturdaten'!$C$9,0),0)</f>
        <v>619</v>
      </c>
      <c r="J119" s="6">
        <f>I119*'Erkrankungs- und Strukturdaten'!$C$10/'Erkrankungs- und Strukturdaten'!$C$9</f>
        <v>303.31</v>
      </c>
      <c r="K119" s="6">
        <f>I119*'Erkrankungs- und Strukturdaten'!$C$21</f>
        <v>12380</v>
      </c>
      <c r="L119" s="11"/>
      <c r="M119" s="82">
        <f>SUM($K$66:K119)</f>
        <v>496260</v>
      </c>
      <c r="N119" s="9"/>
      <c r="O119" s="6">
        <f>IF(AND(((H119/'Erkrankungs- und Strukturdaten'!$C$25)*'Erkrankungs- und Strukturdaten'!$E$27)+(H119/'Erkrankungs- und Strukturdaten'!$C$26)&lt;1,((H119/'Erkrankungs- und Strukturdaten'!$C$25)*'Erkrankungs- und Strukturdaten'!$E$27)+(H119/'Erkrankungs- und Strukturdaten'!$C$26)&gt;0),1,((H119/'Erkrankungs- und Strukturdaten'!$C$25)*'Erkrankungs- und Strukturdaten'!$E$27)+(H119/'Erkrankungs- und Strukturdaten'!$C$26))</f>
        <v>1507.5666666666666</v>
      </c>
      <c r="P119" s="6">
        <f>ROUNDUP(((I119/'Erkrankungs- und Strukturdaten'!$C$28)*'Erkrankungs- und Strukturdaten'!$E$30)+(I119/'Erkrankungs- und Strukturdaten'!$C$29),0)</f>
        <v>673</v>
      </c>
      <c r="Q119" s="6">
        <f>ROUNDUP((H119/'Erkrankungs- und Strukturdaten'!$C$34*'Erkrankungs- und Strukturdaten'!$E$36)+(H119/'Erkrankungs- und Strukturdaten'!$C$35),0)</f>
        <v>242</v>
      </c>
      <c r="R119" s="6">
        <f>ROUNDUP((I119*'Erkrankungs- und Strukturdaten'!$C$40/'Erkrankungs- und Strukturdaten'!$C$38*'Erkrankungs- und Strukturdaten'!$E$39)+(I119*(1-'Erkrankungs- und Strukturdaten'!$C$40)/'Erkrankungs- und Strukturdaten'!$C$37*'Erkrankungs- und Strukturdaten'!$E$39),0)</f>
        <v>85</v>
      </c>
      <c r="S119" s="52"/>
      <c r="U119" s="44">
        <f>((H119/'Erkrankungs- und Strukturdaten'!$C$25)*'Erkrankungs- und Strukturdaten'!$E$27*'Erkrankungs- und Strukturdaten'!$F$27)+(H119/'Erkrankungs- und Strukturdaten'!$C$26*'Erkrankungs- und Strukturdaten'!$G$27)</f>
        <v>12408.433333333334</v>
      </c>
      <c r="V119" s="44">
        <f>(I119/'Erkrankungs- und Strukturdaten'!$C$28*'Erkrankungs- und Strukturdaten'!$E$30*'Erkrankungs- und Strukturdaten'!$F$30)+(I119/'Erkrankungs- und Strukturdaten'!$C$29*'Erkrankungs- und Strukturdaten'!$G$30)</f>
        <v>5493.1828571428568</v>
      </c>
      <c r="AB119" s="2">
        <f t="shared" si="3"/>
        <v>44354</v>
      </c>
    </row>
    <row r="120" spans="1:28" ht="15" x14ac:dyDescent="0.2">
      <c r="A120" s="42">
        <v>111</v>
      </c>
      <c r="B120" s="371"/>
      <c r="C120" s="28">
        <f t="shared" si="4"/>
        <v>44355</v>
      </c>
      <c r="D120" s="5">
        <f>SUMIF('Fallzahlen (Berechnung)'!D:D,"&lt;="&amp;Prognoseergebnis!C120,'Fallzahlen (Berechnung)'!E:E)-'Fallzahlen (Berechnung)'!$E$1</f>
        <v>791691.48883495934</v>
      </c>
      <c r="E120" s="115">
        <f>VLOOKUP(C120,'Fallzahlen (Berechnung)'!$D:$E,'Fallzahlen (Berechnung)'!$E$1,FALSE)</f>
        <v>4998.0119151861545</v>
      </c>
      <c r="G120" s="18">
        <v>111</v>
      </c>
      <c r="H120" s="5">
        <f>ROUND('Erkrankungs- und Strukturdaten'!$C$8*D120-IF(G120&gt;'Erkrankungs- und Strukturdaten'!$C$14,VLOOKUP(Prognoseergebnis!G120-ROUNDDOWN('Erkrankungs- und Strukturdaten'!$C$14,0),$A:$D,$D$6,FALSE)*'Erkrankungs- und Strukturdaten'!$C$8,0)
+IF(G120&gt;'Erkrankungs- und Strukturdaten'!$C$15,VLOOKUP(Prognoseergebnis!G120-ROUNDDOWN('Erkrankungs- und Strukturdaten'!$C$15,0),A:D,$D$6,FALSE)*'Erkrankungs- und Strukturdaten'!$C$9,0)
-IF(G120&gt;'Erkrankungs- und Strukturdaten'!$C$15+'Erkrankungs- und Strukturdaten'!$C$16,VLOOKUP(Prognoseergebnis!G120-ROUNDDOWN('Erkrankungs- und Strukturdaten'!$C$15-'Erkrankungs- und Strukturdaten'!$C$16,0),A:D,$D$6,FALSE)*'Erkrankungs- und Strukturdaten'!$C$9,0),0)</f>
        <v>3556</v>
      </c>
      <c r="I120" s="5">
        <f>ROUND('Erkrankungs- und Strukturdaten'!$C$9*D120-IF(G120&gt;'Erkrankungs- und Strukturdaten'!$C$15,VLOOKUP(Prognoseergebnis!G120-'Erkrankungs- und Strukturdaten'!$C$15,$A:$D,$D$6,FALSE)*'Erkrankungs- und Strukturdaten'!$C$9,0),0)</f>
        <v>630</v>
      </c>
      <c r="J120" s="5">
        <f>I120*'Erkrankungs- und Strukturdaten'!$C$10/'Erkrankungs- und Strukturdaten'!$C$9</f>
        <v>308.7</v>
      </c>
      <c r="K120" s="5">
        <f>I120*'Erkrankungs- und Strukturdaten'!$C$21</f>
        <v>12600</v>
      </c>
      <c r="L120" s="11"/>
      <c r="M120" s="82">
        <f>SUM($K$66:K120)</f>
        <v>508860</v>
      </c>
      <c r="N120" s="9"/>
      <c r="O120" s="5">
        <f>IF(AND(((H120/'Erkrankungs- und Strukturdaten'!$C$25)*'Erkrankungs- und Strukturdaten'!$E$27)+(H120/'Erkrankungs- und Strukturdaten'!$C$26)&lt;1,((H120/'Erkrankungs- und Strukturdaten'!$C$25)*'Erkrankungs- und Strukturdaten'!$E$27)+(H120/'Erkrankungs- und Strukturdaten'!$C$26)&gt;0),1,((H120/'Erkrankungs- und Strukturdaten'!$C$25)*'Erkrankungs- und Strukturdaten'!$E$27)+(H120/'Erkrankungs- und Strukturdaten'!$C$26))</f>
        <v>1540.9333333333334</v>
      </c>
      <c r="P120" s="5">
        <f>ROUNDUP(((I120/'Erkrankungs- und Strukturdaten'!$C$28)*'Erkrankungs- und Strukturdaten'!$E$30)+(I120/'Erkrankungs- und Strukturdaten'!$C$29),0)</f>
        <v>684</v>
      </c>
      <c r="Q120" s="5">
        <f>ROUNDUP((H120/'Erkrankungs- und Strukturdaten'!$C$34*'Erkrankungs- und Strukturdaten'!$E$36)+(H120/'Erkrankungs- und Strukturdaten'!$C$35),0)</f>
        <v>247</v>
      </c>
      <c r="R120" s="5">
        <f>ROUNDUP((I120*'Erkrankungs- und Strukturdaten'!$C$40/'Erkrankungs- und Strukturdaten'!$C$38*'Erkrankungs- und Strukturdaten'!$E$39)+(I120*(1-'Erkrankungs- und Strukturdaten'!$C$40)/'Erkrankungs- und Strukturdaten'!$C$37*'Erkrankungs- und Strukturdaten'!$E$39),0)</f>
        <v>87</v>
      </c>
      <c r="S120" s="52"/>
      <c r="U120" s="44">
        <f>((H120/'Erkrankungs- und Strukturdaten'!$C$25)*'Erkrankungs- und Strukturdaten'!$E$27*'Erkrankungs- und Strukturdaten'!$F$27)+(H120/'Erkrankungs- und Strukturdaten'!$C$26*'Erkrankungs- und Strukturdaten'!$G$27)</f>
        <v>12683.066666666666</v>
      </c>
      <c r="V120" s="44">
        <f>(I120/'Erkrankungs- und Strukturdaten'!$C$28*'Erkrankungs- und Strukturdaten'!$E$30*'Erkrankungs- und Strukturdaten'!$F$30)+(I120/'Erkrankungs- und Strukturdaten'!$C$29*'Erkrankungs- und Strukturdaten'!$G$30)</f>
        <v>5590.8</v>
      </c>
      <c r="AB120" s="2">
        <f t="shared" si="3"/>
        <v>44355</v>
      </c>
    </row>
    <row r="121" spans="1:28" ht="15" x14ac:dyDescent="0.2">
      <c r="A121" s="42">
        <v>112</v>
      </c>
      <c r="B121" s="371"/>
      <c r="C121" s="73">
        <f t="shared" si="4"/>
        <v>44356</v>
      </c>
      <c r="D121" s="74">
        <f>SUMIF('Fallzahlen (Berechnung)'!D:D,"&lt;="&amp;Prognoseergebnis!C121,'Fallzahlen (Berechnung)'!E:E)-'Fallzahlen (Berechnung)'!$E$1</f>
        <v>796289.60892139247</v>
      </c>
      <c r="E121" s="119">
        <f>VLOOKUP(C121,'Fallzahlen (Berechnung)'!$D:$E,'Fallzahlen (Berechnung)'!$E$1,FALSE)</f>
        <v>4598.1200864331668</v>
      </c>
      <c r="G121" s="18">
        <v>112</v>
      </c>
      <c r="H121" s="74">
        <f>ROUND('Erkrankungs- und Strukturdaten'!$C$8*D121-IF(G121&gt;'Erkrankungs- und Strukturdaten'!$C$14,VLOOKUP(Prognoseergebnis!G121-ROUNDDOWN('Erkrankungs- und Strukturdaten'!$C$14,0),$A:$D,$D$6,FALSE)*'Erkrankungs- und Strukturdaten'!$C$8,0)
+IF(G121&gt;'Erkrankungs- und Strukturdaten'!$C$15,VLOOKUP(Prognoseergebnis!G121-ROUNDDOWN('Erkrankungs- und Strukturdaten'!$C$15,0),A:D,$D$6,FALSE)*'Erkrankungs- und Strukturdaten'!$C$9,0)
-IF(G121&gt;'Erkrankungs- und Strukturdaten'!$C$15+'Erkrankungs- und Strukturdaten'!$C$16,VLOOKUP(Prognoseergebnis!G121-ROUNDDOWN('Erkrankungs- und Strukturdaten'!$C$15-'Erkrankungs- und Strukturdaten'!$C$16,0),A:D,$D$6,FALSE)*'Erkrankungs- und Strukturdaten'!$C$9,0),0)</f>
        <v>3605</v>
      </c>
      <c r="I121" s="74">
        <f>ROUND('Erkrankungs- und Strukturdaten'!$C$9*D121-IF(G121&gt;'Erkrankungs- und Strukturdaten'!$C$15,VLOOKUP(Prognoseergebnis!G121-'Erkrankungs- und Strukturdaten'!$C$15,$A:$D,$D$6,FALSE)*'Erkrankungs- und Strukturdaten'!$C$9,0),0)</f>
        <v>633</v>
      </c>
      <c r="J121" s="74">
        <f>I121*'Erkrankungs- und Strukturdaten'!$C$10/'Erkrankungs- und Strukturdaten'!$C$9</f>
        <v>310.17</v>
      </c>
      <c r="K121" s="74">
        <f>I121*'Erkrankungs- und Strukturdaten'!$C$21</f>
        <v>12660</v>
      </c>
      <c r="L121" s="11"/>
      <c r="M121" s="82">
        <f>SUM($K$66:K121)</f>
        <v>521520</v>
      </c>
      <c r="N121" s="9"/>
      <c r="O121" s="74">
        <f>IF(AND(((H121/'Erkrankungs- und Strukturdaten'!$C$25)*'Erkrankungs- und Strukturdaten'!$E$27)+(H121/'Erkrankungs- und Strukturdaten'!$C$26)&lt;1,((H121/'Erkrankungs- und Strukturdaten'!$C$25)*'Erkrankungs- und Strukturdaten'!$E$27)+(H121/'Erkrankungs- und Strukturdaten'!$C$26)&gt;0),1,((H121/'Erkrankungs- und Strukturdaten'!$C$25)*'Erkrankungs- und Strukturdaten'!$E$27)+(H121/'Erkrankungs- und Strukturdaten'!$C$26))</f>
        <v>1562.1666666666667</v>
      </c>
      <c r="P121" s="74">
        <f>ROUNDUP(((I121/'Erkrankungs- und Strukturdaten'!$C$28)*'Erkrankungs- und Strukturdaten'!$E$30)+(I121/'Erkrankungs- und Strukturdaten'!$C$29),0)</f>
        <v>688</v>
      </c>
      <c r="Q121" s="74">
        <f>ROUNDUP((H121/'Erkrankungs- und Strukturdaten'!$C$34*'Erkrankungs- und Strukturdaten'!$E$36)+(H121/'Erkrankungs- und Strukturdaten'!$C$35),0)</f>
        <v>251</v>
      </c>
      <c r="R121" s="74">
        <f>ROUNDUP((I121*'Erkrankungs- und Strukturdaten'!$C$40/'Erkrankungs- und Strukturdaten'!$C$38*'Erkrankungs- und Strukturdaten'!$E$39)+(I121*(1-'Erkrankungs- und Strukturdaten'!$C$40)/'Erkrankungs- und Strukturdaten'!$C$37*'Erkrankungs- und Strukturdaten'!$E$39),0)</f>
        <v>87</v>
      </c>
      <c r="S121" s="52"/>
      <c r="U121" s="44">
        <f>((H121/'Erkrankungs- und Strukturdaten'!$C$25)*'Erkrankungs- und Strukturdaten'!$E$27*'Erkrankungs- und Strukturdaten'!$F$27)+(H121/'Erkrankungs- und Strukturdaten'!$C$26*'Erkrankungs- und Strukturdaten'!$G$27)</f>
        <v>12857.833333333334</v>
      </c>
      <c r="V121" s="44">
        <f>(I121/'Erkrankungs- und Strukturdaten'!$C$28*'Erkrankungs- und Strukturdaten'!$E$30*'Erkrankungs- und Strukturdaten'!$F$30)+(I121/'Erkrankungs- und Strukturdaten'!$C$29*'Erkrankungs- und Strukturdaten'!$G$30)</f>
        <v>5617.4228571428566</v>
      </c>
      <c r="AB121" s="2">
        <f t="shared" si="3"/>
        <v>44356</v>
      </c>
    </row>
    <row r="122" spans="1:28" ht="15" x14ac:dyDescent="0.2">
      <c r="A122" s="42">
        <v>113</v>
      </c>
      <c r="B122" s="370" t="s">
        <v>38</v>
      </c>
      <c r="C122" s="78">
        <f t="shared" si="4"/>
        <v>44357</v>
      </c>
      <c r="D122" s="4">
        <f>SUMIF('Fallzahlen (Berechnung)'!D:D,"&lt;="&amp;Prognoseergebnis!C122,'Fallzahlen (Berechnung)'!E:E)-'Fallzahlen (Berechnung)'!$E$1</f>
        <v>800932.87541815022</v>
      </c>
      <c r="E122" s="116">
        <f>VLOOKUP(C122,'Fallzahlen (Berechnung)'!$D:$E,'Fallzahlen (Berechnung)'!$E$1,FALSE)</f>
        <v>4643.266496757703</v>
      </c>
      <c r="G122" s="18">
        <v>113</v>
      </c>
      <c r="H122" s="4">
        <f>ROUND('Erkrankungs- und Strukturdaten'!$C$8*D122-IF(G122&gt;'Erkrankungs- und Strukturdaten'!$C$14,VLOOKUP(Prognoseergebnis!G122-ROUNDDOWN('Erkrankungs- und Strukturdaten'!$C$14,0),$A:$D,$D$6,FALSE)*'Erkrankungs- und Strukturdaten'!$C$8,0)
+IF(G122&gt;'Erkrankungs- und Strukturdaten'!$C$15,VLOOKUP(Prognoseergebnis!G122-ROUNDDOWN('Erkrankungs- und Strukturdaten'!$C$15,0),A:D,$D$6,FALSE)*'Erkrankungs- und Strukturdaten'!$C$9,0)
-IF(G122&gt;'Erkrankungs- und Strukturdaten'!$C$15+'Erkrankungs- und Strukturdaten'!$C$16,VLOOKUP(Prognoseergebnis!G122-ROUNDDOWN('Erkrankungs- und Strukturdaten'!$C$15-'Erkrankungs- und Strukturdaten'!$C$16,0),A:D,$D$6,FALSE)*'Erkrankungs- und Strukturdaten'!$C$9,0),0)</f>
        <v>3647</v>
      </c>
      <c r="I122" s="4">
        <f>ROUND('Erkrankungs- und Strukturdaten'!$C$9*D122-IF(G122&gt;'Erkrankungs- und Strukturdaten'!$C$15,VLOOKUP(Prognoseergebnis!G122-'Erkrankungs- und Strukturdaten'!$C$15,$A:$D,$D$6,FALSE)*'Erkrankungs- und Strukturdaten'!$C$9,0),0)</f>
        <v>641</v>
      </c>
      <c r="J122" s="4">
        <f>I122*'Erkrankungs- und Strukturdaten'!$C$10/'Erkrankungs- und Strukturdaten'!$C$9</f>
        <v>314.08999999999997</v>
      </c>
      <c r="K122" s="4">
        <f>I122*'Erkrankungs- und Strukturdaten'!$C$21</f>
        <v>12820</v>
      </c>
      <c r="L122" s="11"/>
      <c r="M122" s="82">
        <f>SUM($K$66:K122)</f>
        <v>534340</v>
      </c>
      <c r="N122" s="9"/>
      <c r="O122" s="4">
        <f>IF(AND(((H122/'Erkrankungs- und Strukturdaten'!$C$25)*'Erkrankungs- und Strukturdaten'!$E$27)+(H122/'Erkrankungs- und Strukturdaten'!$C$26)&lt;1,((H122/'Erkrankungs- und Strukturdaten'!$C$25)*'Erkrankungs- und Strukturdaten'!$E$27)+(H122/'Erkrankungs- und Strukturdaten'!$C$26)&gt;0),1,((H122/'Erkrankungs- und Strukturdaten'!$C$25)*'Erkrankungs- und Strukturdaten'!$E$27)+(H122/'Erkrankungs- und Strukturdaten'!$C$26))</f>
        <v>1580.3666666666668</v>
      </c>
      <c r="P122" s="4">
        <f>ROUNDUP(((I122/'Erkrankungs- und Strukturdaten'!$C$28)*'Erkrankungs- und Strukturdaten'!$E$30)+(I122/'Erkrankungs- und Strukturdaten'!$C$29),0)</f>
        <v>696</v>
      </c>
      <c r="Q122" s="4">
        <f>ROUNDUP((H122/'Erkrankungs- und Strukturdaten'!$C$34*'Erkrankungs- und Strukturdaten'!$E$36)+(H122/'Erkrankungs- und Strukturdaten'!$C$35),0)</f>
        <v>254</v>
      </c>
      <c r="R122" s="4">
        <f>ROUNDUP((I122*'Erkrankungs- und Strukturdaten'!$C$40/'Erkrankungs- und Strukturdaten'!$C$38*'Erkrankungs- und Strukturdaten'!$E$39)+(I122*(1-'Erkrankungs- und Strukturdaten'!$C$40)/'Erkrankungs- und Strukturdaten'!$C$37*'Erkrankungs- und Strukturdaten'!$E$39),0)</f>
        <v>88</v>
      </c>
      <c r="S122" s="52"/>
      <c r="U122" s="44">
        <f>((H122/'Erkrankungs- und Strukturdaten'!$C$25)*'Erkrankungs- und Strukturdaten'!$E$27*'Erkrankungs- und Strukturdaten'!$F$27)+(H122/'Erkrankungs- und Strukturdaten'!$C$26*'Erkrankungs- und Strukturdaten'!$G$27)</f>
        <v>13007.633333333335</v>
      </c>
      <c r="V122" s="44">
        <f>(I122/'Erkrankungs- und Strukturdaten'!$C$28*'Erkrankungs- und Strukturdaten'!$E$30*'Erkrankungs- und Strukturdaten'!$F$30)+(I122/'Erkrankungs- und Strukturdaten'!$C$29*'Erkrankungs- und Strukturdaten'!$G$30)</f>
        <v>5688.4171428571426</v>
      </c>
      <c r="AB122" s="2">
        <f t="shared" si="3"/>
        <v>44357</v>
      </c>
    </row>
    <row r="123" spans="1:28" ht="15" x14ac:dyDescent="0.2">
      <c r="A123" s="42">
        <v>114</v>
      </c>
      <c r="B123" s="370"/>
      <c r="C123" s="27">
        <f t="shared" si="4"/>
        <v>44358</v>
      </c>
      <c r="D123" s="6">
        <f>SUMIF('Fallzahlen (Berechnung)'!D:D,"&lt;="&amp;Prognoseergebnis!C123,'Fallzahlen (Berechnung)'!E:E)-'Fallzahlen (Berechnung)'!$E$1</f>
        <v>805000.53980529972</v>
      </c>
      <c r="E123" s="114">
        <f>VLOOKUP(C123,'Fallzahlen (Berechnung)'!$D:$E,'Fallzahlen (Berechnung)'!$E$1,FALSE)</f>
        <v>4067.6643871495053</v>
      </c>
      <c r="G123" s="18">
        <v>114</v>
      </c>
      <c r="H123" s="6">
        <f>ROUND('Erkrankungs- und Strukturdaten'!$C$8*D123-IF(G123&gt;'Erkrankungs- und Strukturdaten'!$C$14,VLOOKUP(Prognoseergebnis!G123-ROUNDDOWN('Erkrankungs- und Strukturdaten'!$C$14,0),$A:$D,$D$6,FALSE)*'Erkrankungs- und Strukturdaten'!$C$8,0)
+IF(G123&gt;'Erkrankungs- und Strukturdaten'!$C$15,VLOOKUP(Prognoseergebnis!G123-ROUNDDOWN('Erkrankungs- und Strukturdaten'!$C$15,0),A:D,$D$6,FALSE)*'Erkrankungs- und Strukturdaten'!$C$9,0)
-IF(G123&gt;'Erkrankungs- und Strukturdaten'!$C$15+'Erkrankungs- und Strukturdaten'!$C$16,VLOOKUP(Prognoseergebnis!G123-ROUNDDOWN('Erkrankungs- und Strukturdaten'!$C$15-'Erkrankungs- und Strukturdaten'!$C$16,0),A:D,$D$6,FALSE)*'Erkrankungs- und Strukturdaten'!$C$9,0),0)</f>
        <v>3688</v>
      </c>
      <c r="I123" s="6">
        <f>ROUND('Erkrankungs- und Strukturdaten'!$C$9*D123-IF(G123&gt;'Erkrankungs- und Strukturdaten'!$C$15,VLOOKUP(Prognoseergebnis!G123-'Erkrankungs- und Strukturdaten'!$C$15,$A:$D,$D$6,FALSE)*'Erkrankungs- und Strukturdaten'!$C$9,0),0)</f>
        <v>643</v>
      </c>
      <c r="J123" s="6">
        <f>I123*'Erkrankungs- und Strukturdaten'!$C$10/'Erkrankungs- und Strukturdaten'!$C$9</f>
        <v>315.07</v>
      </c>
      <c r="K123" s="6">
        <f>I123*'Erkrankungs- und Strukturdaten'!$C$21</f>
        <v>12860</v>
      </c>
      <c r="L123" s="11"/>
      <c r="M123" s="82">
        <f>SUM($K$66:K123)</f>
        <v>547200</v>
      </c>
      <c r="N123" s="9"/>
      <c r="O123" s="6">
        <f>IF(AND(((H123/'Erkrankungs- und Strukturdaten'!$C$25)*'Erkrankungs- und Strukturdaten'!$E$27)+(H123/'Erkrankungs- und Strukturdaten'!$C$26)&lt;1,((H123/'Erkrankungs- und Strukturdaten'!$C$25)*'Erkrankungs- und Strukturdaten'!$E$27)+(H123/'Erkrankungs- und Strukturdaten'!$C$26)&gt;0),1,((H123/'Erkrankungs- und Strukturdaten'!$C$25)*'Erkrankungs- und Strukturdaten'!$E$27)+(H123/'Erkrankungs- und Strukturdaten'!$C$26))</f>
        <v>1598.1333333333332</v>
      </c>
      <c r="P123" s="6">
        <f>ROUNDUP(((I123/'Erkrankungs- und Strukturdaten'!$C$28)*'Erkrankungs- und Strukturdaten'!$E$30)+(I123/'Erkrankungs- und Strukturdaten'!$C$29),0)</f>
        <v>699</v>
      </c>
      <c r="Q123" s="6">
        <f>ROUNDUP((H123/'Erkrankungs- und Strukturdaten'!$C$34*'Erkrankungs- und Strukturdaten'!$E$36)+(H123/'Erkrankungs- und Strukturdaten'!$C$35),0)</f>
        <v>257</v>
      </c>
      <c r="R123" s="6">
        <f>ROUNDUP((I123*'Erkrankungs- und Strukturdaten'!$C$40/'Erkrankungs- und Strukturdaten'!$C$38*'Erkrankungs- und Strukturdaten'!$E$39)+(I123*(1-'Erkrankungs- und Strukturdaten'!$C$40)/'Erkrankungs- und Strukturdaten'!$C$37*'Erkrankungs- und Strukturdaten'!$E$39),0)</f>
        <v>88</v>
      </c>
      <c r="S123" s="52"/>
      <c r="U123" s="44">
        <f>((H123/'Erkrankungs- und Strukturdaten'!$C$25)*'Erkrankungs- und Strukturdaten'!$E$27*'Erkrankungs- und Strukturdaten'!$F$27)+(H123/'Erkrankungs- und Strukturdaten'!$C$26*'Erkrankungs- und Strukturdaten'!$G$27)</f>
        <v>13153.866666666667</v>
      </c>
      <c r="V123" s="44">
        <f>(I123/'Erkrankungs- und Strukturdaten'!$C$28*'Erkrankungs- und Strukturdaten'!$E$30*'Erkrankungs- und Strukturdaten'!$F$30)+(I123/'Erkrankungs- und Strukturdaten'!$C$29*'Erkrankungs- und Strukturdaten'!$G$30)</f>
        <v>5706.1657142857148</v>
      </c>
      <c r="AB123" s="2">
        <f t="shared" si="3"/>
        <v>44358</v>
      </c>
    </row>
    <row r="124" spans="1:28" ht="15" x14ac:dyDescent="0.2">
      <c r="A124" s="42">
        <v>115</v>
      </c>
      <c r="B124" s="370"/>
      <c r="C124" s="28">
        <f t="shared" si="4"/>
        <v>44359</v>
      </c>
      <c r="D124" s="5">
        <f>SUMIF('Fallzahlen (Berechnung)'!D:D,"&lt;="&amp;Prognoseergebnis!C124,'Fallzahlen (Berechnung)'!E:E)-'Fallzahlen (Berechnung)'!$E$1</f>
        <v>808056.94263823854</v>
      </c>
      <c r="E124" s="115">
        <f>VLOOKUP(C124,'Fallzahlen (Berechnung)'!$D:$E,'Fallzahlen (Berechnung)'!$E$1,FALSE)</f>
        <v>3056.4028329388266</v>
      </c>
      <c r="G124" s="18">
        <v>115</v>
      </c>
      <c r="H124" s="5">
        <f>ROUND('Erkrankungs- und Strukturdaten'!$C$8*D124-IF(G124&gt;'Erkrankungs- und Strukturdaten'!$C$14,VLOOKUP(Prognoseergebnis!G124-ROUNDDOWN('Erkrankungs- und Strukturdaten'!$C$14,0),$A:$D,$D$6,FALSE)*'Erkrankungs- und Strukturdaten'!$C$8,0)
+IF(G124&gt;'Erkrankungs- und Strukturdaten'!$C$15,VLOOKUP(Prognoseergebnis!G124-ROUNDDOWN('Erkrankungs- und Strukturdaten'!$C$15,0),A:D,$D$6,FALSE)*'Erkrankungs- und Strukturdaten'!$C$9,0)
-IF(G124&gt;'Erkrankungs- und Strukturdaten'!$C$15+'Erkrankungs- und Strukturdaten'!$C$16,VLOOKUP(Prognoseergebnis!G124-ROUNDDOWN('Erkrankungs- und Strukturdaten'!$C$15-'Erkrankungs- und Strukturdaten'!$C$16,0),A:D,$D$6,FALSE)*'Erkrankungs- und Strukturdaten'!$C$9,0),0)</f>
        <v>3712</v>
      </c>
      <c r="I124" s="5">
        <f>ROUND('Erkrankungs- und Strukturdaten'!$C$9*D124-IF(G124&gt;'Erkrankungs- und Strukturdaten'!$C$15,VLOOKUP(Prognoseergebnis!G124-'Erkrankungs- und Strukturdaten'!$C$15,$A:$D,$D$6,FALSE)*'Erkrankungs- und Strukturdaten'!$C$9,0),0)</f>
        <v>638</v>
      </c>
      <c r="J124" s="5">
        <f>I124*'Erkrankungs- und Strukturdaten'!$C$10/'Erkrankungs- und Strukturdaten'!$C$9</f>
        <v>312.62</v>
      </c>
      <c r="K124" s="5">
        <f>I124*'Erkrankungs- und Strukturdaten'!$C$21</f>
        <v>12760</v>
      </c>
      <c r="L124" s="11"/>
      <c r="M124" s="82">
        <f>SUM($K$66:K124)</f>
        <v>559960</v>
      </c>
      <c r="N124" s="9"/>
      <c r="O124" s="5">
        <f>IF(AND(((H124/'Erkrankungs- und Strukturdaten'!$C$25)*'Erkrankungs- und Strukturdaten'!$E$27)+(H124/'Erkrankungs- und Strukturdaten'!$C$26)&lt;1,((H124/'Erkrankungs- und Strukturdaten'!$C$25)*'Erkrankungs- und Strukturdaten'!$E$27)+(H124/'Erkrankungs- und Strukturdaten'!$C$26)&gt;0),1,((H124/'Erkrankungs- und Strukturdaten'!$C$25)*'Erkrankungs- und Strukturdaten'!$E$27)+(H124/'Erkrankungs- und Strukturdaten'!$C$26))</f>
        <v>1608.5333333333333</v>
      </c>
      <c r="P124" s="5">
        <f>ROUNDUP(((I124/'Erkrankungs- und Strukturdaten'!$C$28)*'Erkrankungs- und Strukturdaten'!$E$30)+(I124/'Erkrankungs- und Strukturdaten'!$C$29),0)</f>
        <v>693</v>
      </c>
      <c r="Q124" s="5">
        <f>ROUNDUP((H124/'Erkrankungs- und Strukturdaten'!$C$34*'Erkrankungs- und Strukturdaten'!$E$36)+(H124/'Erkrankungs- und Strukturdaten'!$C$35),0)</f>
        <v>258</v>
      </c>
      <c r="R124" s="5">
        <f>ROUNDUP((I124*'Erkrankungs- und Strukturdaten'!$C$40/'Erkrankungs- und Strukturdaten'!$C$38*'Erkrankungs- und Strukturdaten'!$E$39)+(I124*(1-'Erkrankungs- und Strukturdaten'!$C$40)/'Erkrankungs- und Strukturdaten'!$C$37*'Erkrankungs- und Strukturdaten'!$E$39),0)</f>
        <v>88</v>
      </c>
      <c r="S124" s="52"/>
      <c r="U124" s="44">
        <f>((H124/'Erkrankungs- und Strukturdaten'!$C$25)*'Erkrankungs- und Strukturdaten'!$E$27*'Erkrankungs- und Strukturdaten'!$F$27)+(H124/'Erkrankungs- und Strukturdaten'!$C$26*'Erkrankungs- und Strukturdaten'!$G$27)</f>
        <v>13239.466666666667</v>
      </c>
      <c r="V124" s="44">
        <f>(I124/'Erkrankungs- und Strukturdaten'!$C$28*'Erkrankungs- und Strukturdaten'!$E$30*'Erkrankungs- und Strukturdaten'!$F$30)+(I124/'Erkrankungs- und Strukturdaten'!$C$29*'Erkrankungs- und Strukturdaten'!$G$30)</f>
        <v>5661.7942857142853</v>
      </c>
      <c r="AB124" s="2">
        <f t="shared" si="3"/>
        <v>44359</v>
      </c>
    </row>
    <row r="125" spans="1:28" ht="15" x14ac:dyDescent="0.2">
      <c r="A125" s="42">
        <v>116</v>
      </c>
      <c r="B125" s="370"/>
      <c r="C125" s="27">
        <f t="shared" si="4"/>
        <v>44360</v>
      </c>
      <c r="D125" s="6">
        <f>SUMIF('Fallzahlen (Berechnung)'!D:D,"&lt;="&amp;Prognoseergebnis!C125,'Fallzahlen (Berechnung)'!E:E)-'Fallzahlen (Berechnung)'!$E$1</f>
        <v>810371.86492067936</v>
      </c>
      <c r="E125" s="114">
        <f>VLOOKUP(C125,'Fallzahlen (Berechnung)'!$D:$E,'Fallzahlen (Berechnung)'!$E$1,FALSE)</f>
        <v>2314.9222824407721</v>
      </c>
      <c r="G125" s="18">
        <v>116</v>
      </c>
      <c r="H125" s="6">
        <f>ROUND('Erkrankungs- und Strukturdaten'!$C$8*D125-IF(G125&gt;'Erkrankungs- und Strukturdaten'!$C$14,VLOOKUP(Prognoseergebnis!G125-ROUNDDOWN('Erkrankungs- und Strukturdaten'!$C$14,0),$A:$D,$D$6,FALSE)*'Erkrankungs- und Strukturdaten'!$C$8,0)
+IF(G125&gt;'Erkrankungs- und Strukturdaten'!$C$15,VLOOKUP(Prognoseergebnis!G125-ROUNDDOWN('Erkrankungs- und Strukturdaten'!$C$15,0),A:D,$D$6,FALSE)*'Erkrankungs- und Strukturdaten'!$C$9,0)
-IF(G125&gt;'Erkrankungs- und Strukturdaten'!$C$15+'Erkrankungs- und Strukturdaten'!$C$16,VLOOKUP(Prognoseergebnis!G125-ROUNDDOWN('Erkrankungs- und Strukturdaten'!$C$15-'Erkrankungs- und Strukturdaten'!$C$16,0),A:D,$D$6,FALSE)*'Erkrankungs- und Strukturdaten'!$C$9,0),0)</f>
        <v>3724</v>
      </c>
      <c r="I125" s="6">
        <f>ROUND('Erkrankungs- und Strukturdaten'!$C$9*D125-IF(G125&gt;'Erkrankungs- und Strukturdaten'!$C$15,VLOOKUP(Prognoseergebnis!G125-'Erkrankungs- und Strukturdaten'!$C$15,$A:$D,$D$6,FALSE)*'Erkrankungs- und Strukturdaten'!$C$9,0),0)</f>
        <v>635</v>
      </c>
      <c r="J125" s="6">
        <f>I125*'Erkrankungs- und Strukturdaten'!$C$10/'Erkrankungs- und Strukturdaten'!$C$9</f>
        <v>311.14999999999998</v>
      </c>
      <c r="K125" s="6">
        <f>I125*'Erkrankungs- und Strukturdaten'!$C$21</f>
        <v>12700</v>
      </c>
      <c r="L125" s="11"/>
      <c r="M125" s="82">
        <f>SUM($K$66:K125)</f>
        <v>572660</v>
      </c>
      <c r="N125" s="9"/>
      <c r="O125" s="6">
        <f>IF(AND(((H125/'Erkrankungs- und Strukturdaten'!$C$25)*'Erkrankungs- und Strukturdaten'!$E$27)+(H125/'Erkrankungs- und Strukturdaten'!$C$26)&lt;1,((H125/'Erkrankungs- und Strukturdaten'!$C$25)*'Erkrankungs- und Strukturdaten'!$E$27)+(H125/'Erkrankungs- und Strukturdaten'!$C$26)&gt;0),1,((H125/'Erkrankungs- und Strukturdaten'!$C$25)*'Erkrankungs- und Strukturdaten'!$E$27)+(H125/'Erkrankungs- und Strukturdaten'!$C$26))</f>
        <v>1613.7333333333331</v>
      </c>
      <c r="P125" s="6">
        <f>ROUNDUP(((I125/'Erkrankungs- und Strukturdaten'!$C$28)*'Erkrankungs- und Strukturdaten'!$E$30)+(I125/'Erkrankungs- und Strukturdaten'!$C$29),0)</f>
        <v>690</v>
      </c>
      <c r="Q125" s="6">
        <f>ROUNDUP((H125/'Erkrankungs- und Strukturdaten'!$C$34*'Erkrankungs- und Strukturdaten'!$E$36)+(H125/'Erkrankungs- und Strukturdaten'!$C$35),0)</f>
        <v>259</v>
      </c>
      <c r="R125" s="6">
        <f>ROUNDUP((I125*'Erkrankungs- und Strukturdaten'!$C$40/'Erkrankungs- und Strukturdaten'!$C$38*'Erkrankungs- und Strukturdaten'!$E$39)+(I125*(1-'Erkrankungs- und Strukturdaten'!$C$40)/'Erkrankungs- und Strukturdaten'!$C$37*'Erkrankungs- und Strukturdaten'!$E$39),0)</f>
        <v>87</v>
      </c>
      <c r="S125" s="52"/>
      <c r="U125" s="44">
        <f>((H125/'Erkrankungs- und Strukturdaten'!$C$25)*'Erkrankungs- und Strukturdaten'!$E$27*'Erkrankungs- und Strukturdaten'!$F$27)+(H125/'Erkrankungs- und Strukturdaten'!$C$26*'Erkrankungs- und Strukturdaten'!$G$27)</f>
        <v>13282.266666666666</v>
      </c>
      <c r="V125" s="44">
        <f>(I125/'Erkrankungs- und Strukturdaten'!$C$28*'Erkrankungs- und Strukturdaten'!$E$30*'Erkrankungs- und Strukturdaten'!$F$30)+(I125/'Erkrankungs- und Strukturdaten'!$C$29*'Erkrankungs- und Strukturdaten'!$G$30)</f>
        <v>5635.1714285714279</v>
      </c>
      <c r="AB125" s="2">
        <f t="shared" si="3"/>
        <v>44360</v>
      </c>
    </row>
    <row r="126" spans="1:28" ht="15" x14ac:dyDescent="0.2">
      <c r="A126" s="42">
        <v>117</v>
      </c>
      <c r="B126" s="370"/>
      <c r="C126" s="28">
        <f t="shared" si="4"/>
        <v>44361</v>
      </c>
      <c r="D126" s="5">
        <f>SUMIF('Fallzahlen (Berechnung)'!D:D,"&lt;="&amp;Prognoseergebnis!C126,'Fallzahlen (Berechnung)'!E:E)-'Fallzahlen (Berechnung)'!$E$1</f>
        <v>815561.79198183725</v>
      </c>
      <c r="E126" s="115">
        <f>VLOOKUP(C126,'Fallzahlen (Berechnung)'!$D:$E,'Fallzahlen (Berechnung)'!$E$1,FALSE)</f>
        <v>5189.9270611579359</v>
      </c>
      <c r="G126" s="18">
        <v>117</v>
      </c>
      <c r="H126" s="5">
        <f>ROUND('Erkrankungs- und Strukturdaten'!$C$8*D126-IF(G126&gt;'Erkrankungs- und Strukturdaten'!$C$14,VLOOKUP(Prognoseergebnis!G126-ROUNDDOWN('Erkrankungs- und Strukturdaten'!$C$14,0),$A:$D,$D$6,FALSE)*'Erkrankungs- und Strukturdaten'!$C$8,0)
+IF(G126&gt;'Erkrankungs- und Strukturdaten'!$C$15,VLOOKUP(Prognoseergebnis!G126-ROUNDDOWN('Erkrankungs- und Strukturdaten'!$C$15,0),A:D,$D$6,FALSE)*'Erkrankungs- und Strukturdaten'!$C$9,0)
-IF(G126&gt;'Erkrankungs- und Strukturdaten'!$C$15+'Erkrankungs- und Strukturdaten'!$C$16,VLOOKUP(Prognoseergebnis!G126-ROUNDDOWN('Erkrankungs- und Strukturdaten'!$C$15-'Erkrankungs- und Strukturdaten'!$C$16,0),A:D,$D$6,FALSE)*'Erkrankungs- und Strukturdaten'!$C$9,0),0)</f>
        <v>3771</v>
      </c>
      <c r="I126" s="5">
        <f>ROUND('Erkrankungs- und Strukturdaten'!$C$9*D126-IF(G126&gt;'Erkrankungs- und Strukturdaten'!$C$15,VLOOKUP(Prognoseergebnis!G126-'Erkrankungs- und Strukturdaten'!$C$15,$A:$D,$D$6,FALSE)*'Erkrankungs- und Strukturdaten'!$C$9,0),0)</f>
        <v>671</v>
      </c>
      <c r="J126" s="5">
        <f>I126*'Erkrankungs- und Strukturdaten'!$C$10/'Erkrankungs- und Strukturdaten'!$C$9</f>
        <v>328.78999999999996</v>
      </c>
      <c r="K126" s="5">
        <f>I126*'Erkrankungs- und Strukturdaten'!$C$21</f>
        <v>13420</v>
      </c>
      <c r="L126" s="11"/>
      <c r="M126" s="82">
        <f>SUM($K$66:K126)</f>
        <v>586080</v>
      </c>
      <c r="N126" s="9"/>
      <c r="O126" s="5">
        <f>IF(AND(((H126/'Erkrankungs- und Strukturdaten'!$C$25)*'Erkrankungs- und Strukturdaten'!$E$27)+(H126/'Erkrankungs- und Strukturdaten'!$C$26)&lt;1,((H126/'Erkrankungs- und Strukturdaten'!$C$25)*'Erkrankungs- und Strukturdaten'!$E$27)+(H126/'Erkrankungs- und Strukturdaten'!$C$26)&gt;0),1,((H126/'Erkrankungs- und Strukturdaten'!$C$25)*'Erkrankungs- und Strukturdaten'!$E$27)+(H126/'Erkrankungs- und Strukturdaten'!$C$26))</f>
        <v>1634.1</v>
      </c>
      <c r="P126" s="5">
        <f>ROUNDUP(((I126/'Erkrankungs- und Strukturdaten'!$C$28)*'Erkrankungs- und Strukturdaten'!$E$30)+(I126/'Erkrankungs- und Strukturdaten'!$C$29),0)</f>
        <v>729</v>
      </c>
      <c r="Q126" s="5">
        <f>ROUNDUP((H126/'Erkrankungs- und Strukturdaten'!$C$34*'Erkrankungs- und Strukturdaten'!$E$36)+(H126/'Erkrankungs- und Strukturdaten'!$C$35),0)</f>
        <v>262</v>
      </c>
      <c r="R126" s="5">
        <f>ROUNDUP((I126*'Erkrankungs- und Strukturdaten'!$C$40/'Erkrankungs- und Strukturdaten'!$C$38*'Erkrankungs- und Strukturdaten'!$E$39)+(I126*(1-'Erkrankungs- und Strukturdaten'!$C$40)/'Erkrankungs- und Strukturdaten'!$C$37*'Erkrankungs- und Strukturdaten'!$E$39),0)</f>
        <v>92</v>
      </c>
      <c r="S126" s="52"/>
      <c r="U126" s="44">
        <f>((H126/'Erkrankungs- und Strukturdaten'!$C$25)*'Erkrankungs- und Strukturdaten'!$E$27*'Erkrankungs- und Strukturdaten'!$F$27)+(H126/'Erkrankungs- und Strukturdaten'!$C$26*'Erkrankungs- und Strukturdaten'!$G$27)</f>
        <v>13449.9</v>
      </c>
      <c r="V126" s="44">
        <f>(I126/'Erkrankungs- und Strukturdaten'!$C$28*'Erkrankungs- und Strukturdaten'!$E$30*'Erkrankungs- und Strukturdaten'!$F$30)+(I126/'Erkrankungs- und Strukturdaten'!$C$29*'Erkrankungs- und Strukturdaten'!$G$30)</f>
        <v>5954.6457142857143</v>
      </c>
      <c r="AB126" s="2">
        <f t="shared" si="3"/>
        <v>44361</v>
      </c>
    </row>
    <row r="127" spans="1:28" ht="15" x14ac:dyDescent="0.2">
      <c r="A127" s="42">
        <v>118</v>
      </c>
      <c r="B127" s="370"/>
      <c r="C127" s="27">
        <f t="shared" si="4"/>
        <v>44362</v>
      </c>
      <c r="D127" s="6">
        <f>SUMIF('Fallzahlen (Berechnung)'!D:D,"&lt;="&amp;Prognoseergebnis!C127,'Fallzahlen (Berechnung)'!E:E)-'Fallzahlen (Berechnung)'!$E$1</f>
        <v>820981.94412390003</v>
      </c>
      <c r="E127" s="114">
        <f>VLOOKUP(C127,'Fallzahlen (Berechnung)'!$D:$E,'Fallzahlen (Berechnung)'!$E$1,FALSE)</f>
        <v>5420.1521420628251</v>
      </c>
      <c r="G127" s="18">
        <v>118</v>
      </c>
      <c r="H127" s="6">
        <f>ROUND('Erkrankungs- und Strukturdaten'!$C$8*D127-IF(G127&gt;'Erkrankungs- und Strukturdaten'!$C$14,VLOOKUP(Prognoseergebnis!G127-ROUNDDOWN('Erkrankungs- und Strukturdaten'!$C$14,0),$A:$D,$D$6,FALSE)*'Erkrankungs- und Strukturdaten'!$C$8,0)
+IF(G127&gt;'Erkrankungs- und Strukturdaten'!$C$15,VLOOKUP(Prognoseergebnis!G127-ROUNDDOWN('Erkrankungs- und Strukturdaten'!$C$15,0),A:D,$D$6,FALSE)*'Erkrankungs- und Strukturdaten'!$C$9,0)
-IF(G127&gt;'Erkrankungs- und Strukturdaten'!$C$15+'Erkrankungs- und Strukturdaten'!$C$16,VLOOKUP(Prognoseergebnis!G127-ROUNDDOWN('Erkrankungs- und Strukturdaten'!$C$15-'Erkrankungs- und Strukturdaten'!$C$16,0),A:D,$D$6,FALSE)*'Erkrankungs- und Strukturdaten'!$C$9,0),0)</f>
        <v>3856</v>
      </c>
      <c r="I127" s="6">
        <f>ROUND('Erkrankungs- und Strukturdaten'!$C$9*D127-IF(G127&gt;'Erkrankungs- und Strukturdaten'!$C$15,VLOOKUP(Prognoseergebnis!G127-'Erkrankungs- und Strukturdaten'!$C$15,$A:$D,$D$6,FALSE)*'Erkrankungs- und Strukturdaten'!$C$9,0),0)</f>
        <v>682</v>
      </c>
      <c r="J127" s="6">
        <f>I127*'Erkrankungs- und Strukturdaten'!$C$10/'Erkrankungs- und Strukturdaten'!$C$9</f>
        <v>334.18</v>
      </c>
      <c r="K127" s="6">
        <f>I127*'Erkrankungs- und Strukturdaten'!$C$21</f>
        <v>13640</v>
      </c>
      <c r="L127" s="11"/>
      <c r="M127" s="82">
        <f>SUM($K$66:K127)</f>
        <v>599720</v>
      </c>
      <c r="N127" s="9"/>
      <c r="O127" s="6">
        <f>IF(AND(((H127/'Erkrankungs- und Strukturdaten'!$C$25)*'Erkrankungs- und Strukturdaten'!$E$27)+(H127/'Erkrankungs- und Strukturdaten'!$C$26)&lt;1,((H127/'Erkrankungs- und Strukturdaten'!$C$25)*'Erkrankungs- und Strukturdaten'!$E$27)+(H127/'Erkrankungs- und Strukturdaten'!$C$26)&gt;0),1,((H127/'Erkrankungs- und Strukturdaten'!$C$25)*'Erkrankungs- und Strukturdaten'!$E$27)+(H127/'Erkrankungs- und Strukturdaten'!$C$26))</f>
        <v>1670.9333333333334</v>
      </c>
      <c r="P127" s="6">
        <f>ROUNDUP(((I127/'Erkrankungs- und Strukturdaten'!$C$28)*'Erkrankungs- und Strukturdaten'!$E$30)+(I127/'Erkrankungs- und Strukturdaten'!$C$29),0)</f>
        <v>741</v>
      </c>
      <c r="Q127" s="6">
        <f>ROUNDUP((H127/'Erkrankungs- und Strukturdaten'!$C$34*'Erkrankungs- und Strukturdaten'!$E$36)+(H127/'Erkrankungs- und Strukturdaten'!$C$35),0)</f>
        <v>268</v>
      </c>
      <c r="R127" s="6">
        <f>ROUNDUP((I127*'Erkrankungs- und Strukturdaten'!$C$40/'Erkrankungs- und Strukturdaten'!$C$38*'Erkrankungs- und Strukturdaten'!$E$39)+(I127*(1-'Erkrankungs- und Strukturdaten'!$C$40)/'Erkrankungs- und Strukturdaten'!$C$37*'Erkrankungs- und Strukturdaten'!$E$39),0)</f>
        <v>94</v>
      </c>
      <c r="S127" s="52"/>
      <c r="U127" s="44">
        <f>((H127/'Erkrankungs- und Strukturdaten'!$C$25)*'Erkrankungs- und Strukturdaten'!$E$27*'Erkrankungs- und Strukturdaten'!$F$27)+(H127/'Erkrankungs- und Strukturdaten'!$C$26*'Erkrankungs- und Strukturdaten'!$G$27)</f>
        <v>13753.066666666666</v>
      </c>
      <c r="V127" s="44">
        <f>(I127/'Erkrankungs- und Strukturdaten'!$C$28*'Erkrankungs- und Strukturdaten'!$E$30*'Erkrankungs- und Strukturdaten'!$F$30)+(I127/'Erkrankungs- und Strukturdaten'!$C$29*'Erkrankungs- und Strukturdaten'!$G$30)</f>
        <v>6052.2628571428568</v>
      </c>
      <c r="AB127" s="2">
        <f t="shared" si="3"/>
        <v>44362</v>
      </c>
    </row>
    <row r="128" spans="1:28" ht="15" x14ac:dyDescent="0.2">
      <c r="A128" s="42">
        <v>119</v>
      </c>
      <c r="B128" s="370"/>
      <c r="C128" s="29">
        <f t="shared" si="4"/>
        <v>44363</v>
      </c>
      <c r="D128" s="30">
        <f>SUMIF('Fallzahlen (Berechnung)'!D:D,"&lt;="&amp;Prognoseergebnis!C128,'Fallzahlen (Berechnung)'!E:E)-'Fallzahlen (Berechnung)'!$E$1</f>
        <v>825967.59370199917</v>
      </c>
      <c r="E128" s="117">
        <f>VLOOKUP(C128,'Fallzahlen (Berechnung)'!$D:$E,'Fallzahlen (Berechnung)'!$E$1,FALSE)</f>
        <v>4985.6495780991791</v>
      </c>
      <c r="G128" s="18">
        <v>119</v>
      </c>
      <c r="H128" s="30">
        <f>ROUND('Erkrankungs- und Strukturdaten'!$C$8*D128-IF(G128&gt;'Erkrankungs- und Strukturdaten'!$C$14,VLOOKUP(Prognoseergebnis!G128-ROUNDDOWN('Erkrankungs- und Strukturdaten'!$C$14,0),$A:$D,$D$6,FALSE)*'Erkrankungs- und Strukturdaten'!$C$8,0)
+IF(G128&gt;'Erkrankungs- und Strukturdaten'!$C$15,VLOOKUP(Prognoseergebnis!G128-ROUNDDOWN('Erkrankungs- und Strukturdaten'!$C$15,0),A:D,$D$6,FALSE)*'Erkrankungs- und Strukturdaten'!$C$9,0)
-IF(G128&gt;'Erkrankungs- und Strukturdaten'!$C$15+'Erkrankungs- und Strukturdaten'!$C$16,VLOOKUP(Prognoseergebnis!G128-ROUNDDOWN('Erkrankungs- und Strukturdaten'!$C$15-'Erkrankungs- und Strukturdaten'!$C$16,0),A:D,$D$6,FALSE)*'Erkrankungs- und Strukturdaten'!$C$9,0),0)</f>
        <v>3908</v>
      </c>
      <c r="I128" s="30">
        <f>ROUND('Erkrankungs- und Strukturdaten'!$C$9*D128-IF(G128&gt;'Erkrankungs- und Strukturdaten'!$C$15,VLOOKUP(Prognoseergebnis!G128-'Erkrankungs- und Strukturdaten'!$C$15,$A:$D,$D$6,FALSE)*'Erkrankungs- und Strukturdaten'!$C$9,0),0)</f>
        <v>686</v>
      </c>
      <c r="J128" s="30">
        <f>I128*'Erkrankungs- und Strukturdaten'!$C$10/'Erkrankungs- und Strukturdaten'!$C$9</f>
        <v>336.14</v>
      </c>
      <c r="K128" s="30">
        <f>I128*'Erkrankungs- und Strukturdaten'!$C$21</f>
        <v>13720</v>
      </c>
      <c r="L128" s="11"/>
      <c r="M128" s="82">
        <f>SUM($K$66:K128)</f>
        <v>613440</v>
      </c>
      <c r="N128" s="9"/>
      <c r="O128" s="30">
        <f>IF(AND(((H128/'Erkrankungs- und Strukturdaten'!$C$25)*'Erkrankungs- und Strukturdaten'!$E$27)+(H128/'Erkrankungs- und Strukturdaten'!$C$26)&lt;1,((H128/'Erkrankungs- und Strukturdaten'!$C$25)*'Erkrankungs- und Strukturdaten'!$E$27)+(H128/'Erkrankungs- und Strukturdaten'!$C$26)&gt;0),1,((H128/'Erkrankungs- und Strukturdaten'!$C$25)*'Erkrankungs- und Strukturdaten'!$E$27)+(H128/'Erkrankungs- und Strukturdaten'!$C$26))</f>
        <v>1693.4666666666667</v>
      </c>
      <c r="P128" s="30">
        <f>ROUNDUP(((I128/'Erkrankungs- und Strukturdaten'!$C$28)*'Erkrankungs- und Strukturdaten'!$E$30)+(I128/'Erkrankungs- und Strukturdaten'!$C$29),0)</f>
        <v>745</v>
      </c>
      <c r="Q128" s="30">
        <f>ROUNDUP((H128/'Erkrankungs- und Strukturdaten'!$C$34*'Erkrankungs- und Strukturdaten'!$E$36)+(H128/'Erkrankungs- und Strukturdaten'!$C$35),0)</f>
        <v>272</v>
      </c>
      <c r="R128" s="30">
        <f>ROUNDUP((I128*'Erkrankungs- und Strukturdaten'!$C$40/'Erkrankungs- und Strukturdaten'!$C$38*'Erkrankungs- und Strukturdaten'!$E$39)+(I128*(1-'Erkrankungs- und Strukturdaten'!$C$40)/'Erkrankungs- und Strukturdaten'!$C$37*'Erkrankungs- und Strukturdaten'!$E$39),0)</f>
        <v>94</v>
      </c>
      <c r="S128" s="52"/>
      <c r="U128" s="44">
        <f>((H128/'Erkrankungs- und Strukturdaten'!$C$25)*'Erkrankungs- und Strukturdaten'!$E$27*'Erkrankungs- und Strukturdaten'!$F$27)+(H128/'Erkrankungs- und Strukturdaten'!$C$26*'Erkrankungs- und Strukturdaten'!$G$27)</f>
        <v>13938.533333333335</v>
      </c>
      <c r="V128" s="44">
        <f>(I128/'Erkrankungs- und Strukturdaten'!$C$28*'Erkrankungs- und Strukturdaten'!$E$30*'Erkrankungs- und Strukturdaten'!$F$30)+(I128/'Erkrankungs- und Strukturdaten'!$C$29*'Erkrankungs- und Strukturdaten'!$G$30)</f>
        <v>6087.7599999999993</v>
      </c>
      <c r="AB128" s="2">
        <f t="shared" si="3"/>
        <v>44363</v>
      </c>
    </row>
    <row r="129" spans="1:28" ht="15" x14ac:dyDescent="0.2">
      <c r="A129" s="42">
        <v>120</v>
      </c>
      <c r="B129" s="371" t="s">
        <v>39</v>
      </c>
      <c r="C129" s="76">
        <f t="shared" si="4"/>
        <v>44364</v>
      </c>
      <c r="D129" s="77">
        <f>SUMIF('Fallzahlen (Berechnung)'!D:D,"&lt;="&amp;Prognoseergebnis!C129,'Fallzahlen (Berechnung)'!E:E)-'Fallzahlen (Berechnung)'!$E$1</f>
        <v>831002.15449710225</v>
      </c>
      <c r="E129" s="118">
        <f>VLOOKUP(C129,'Fallzahlen (Berechnung)'!$D:$E,'Fallzahlen (Berechnung)'!$E$1,FALSE)</f>
        <v>5034.5607951030897</v>
      </c>
      <c r="G129" s="18">
        <v>120</v>
      </c>
      <c r="H129" s="77">
        <f>ROUND('Erkrankungs- und Strukturdaten'!$C$8*D129-IF(G129&gt;'Erkrankungs- und Strukturdaten'!$C$14,VLOOKUP(Prognoseergebnis!G129-ROUNDDOWN('Erkrankungs- und Strukturdaten'!$C$14,0),$A:$D,$D$6,FALSE)*'Erkrankungs- und Strukturdaten'!$C$8,0)
+IF(G129&gt;'Erkrankungs- und Strukturdaten'!$C$15,VLOOKUP(Prognoseergebnis!G129-ROUNDDOWN('Erkrankungs- und Strukturdaten'!$C$15,0),A:D,$D$6,FALSE)*'Erkrankungs- und Strukturdaten'!$C$9,0)
-IF(G129&gt;'Erkrankungs- und Strukturdaten'!$C$15+'Erkrankungs- und Strukturdaten'!$C$16,VLOOKUP(Prognoseergebnis!G129-ROUNDDOWN('Erkrankungs- und Strukturdaten'!$C$15-'Erkrankungs- und Strukturdaten'!$C$16,0),A:D,$D$6,FALSE)*'Erkrankungs- und Strukturdaten'!$C$9,0),0)</f>
        <v>3955</v>
      </c>
      <c r="I129" s="77">
        <f>ROUND('Erkrankungs- und Strukturdaten'!$C$9*D129-IF(G129&gt;'Erkrankungs- und Strukturdaten'!$C$15,VLOOKUP(Prognoseergebnis!G129-'Erkrankungs- und Strukturdaten'!$C$15,$A:$D,$D$6,FALSE)*'Erkrankungs- und Strukturdaten'!$C$9,0),0)</f>
        <v>695</v>
      </c>
      <c r="J129" s="77">
        <f>I129*'Erkrankungs- und Strukturdaten'!$C$10/'Erkrankungs- und Strukturdaten'!$C$9</f>
        <v>340.55</v>
      </c>
      <c r="K129" s="77">
        <f>I129*'Erkrankungs- und Strukturdaten'!$C$21</f>
        <v>13900</v>
      </c>
      <c r="L129" s="11"/>
      <c r="M129" s="82">
        <f>SUM($K$66:K129)</f>
        <v>627340</v>
      </c>
      <c r="N129" s="9"/>
      <c r="O129" s="77">
        <f>IF(AND(((H129/'Erkrankungs- und Strukturdaten'!$C$25)*'Erkrankungs- und Strukturdaten'!$E$27)+(H129/'Erkrankungs- und Strukturdaten'!$C$26)&lt;1,((H129/'Erkrankungs- und Strukturdaten'!$C$25)*'Erkrankungs- und Strukturdaten'!$E$27)+(H129/'Erkrankungs- und Strukturdaten'!$C$26)&gt;0),1,((H129/'Erkrankungs- und Strukturdaten'!$C$25)*'Erkrankungs- und Strukturdaten'!$E$27)+(H129/'Erkrankungs- und Strukturdaten'!$C$26))</f>
        <v>1713.8333333333333</v>
      </c>
      <c r="P129" s="77">
        <f>ROUNDUP(((I129/'Erkrankungs- und Strukturdaten'!$C$28)*'Erkrankungs- und Strukturdaten'!$E$30)+(I129/'Erkrankungs- und Strukturdaten'!$C$29),0)</f>
        <v>755</v>
      </c>
      <c r="Q129" s="77">
        <f>ROUNDUP((H129/'Erkrankungs- und Strukturdaten'!$C$34*'Erkrankungs- und Strukturdaten'!$E$36)+(H129/'Erkrankungs- und Strukturdaten'!$C$35),0)</f>
        <v>275</v>
      </c>
      <c r="R129" s="77">
        <f>ROUNDUP((I129*'Erkrankungs- und Strukturdaten'!$C$40/'Erkrankungs- und Strukturdaten'!$C$38*'Erkrankungs- und Strukturdaten'!$E$39)+(I129*(1-'Erkrankungs- und Strukturdaten'!$C$40)/'Erkrankungs- und Strukturdaten'!$C$37*'Erkrankungs- und Strukturdaten'!$E$39),0)</f>
        <v>95</v>
      </c>
      <c r="S129" s="52"/>
      <c r="U129" s="44">
        <f>((H129/'Erkrankungs- und Strukturdaten'!$C$25)*'Erkrankungs- und Strukturdaten'!$E$27*'Erkrankungs- und Strukturdaten'!$F$27)+(H129/'Erkrankungs- und Strukturdaten'!$C$26*'Erkrankungs- und Strukturdaten'!$G$27)</f>
        <v>14106.166666666666</v>
      </c>
      <c r="V129" s="44">
        <f>(I129/'Erkrankungs- und Strukturdaten'!$C$28*'Erkrankungs- und Strukturdaten'!$E$30*'Erkrankungs- und Strukturdaten'!$F$30)+(I129/'Erkrankungs- und Strukturdaten'!$C$29*'Erkrankungs- und Strukturdaten'!$G$30)</f>
        <v>6167.6285714285714</v>
      </c>
      <c r="AB129" s="2">
        <f t="shared" si="3"/>
        <v>44364</v>
      </c>
    </row>
    <row r="130" spans="1:28" ht="15" x14ac:dyDescent="0.2">
      <c r="A130" s="42">
        <v>121</v>
      </c>
      <c r="B130" s="371"/>
      <c r="C130" s="28">
        <f t="shared" si="4"/>
        <v>44365</v>
      </c>
      <c r="D130" s="5">
        <f>SUMIF('Fallzahlen (Berechnung)'!D:D,"&lt;="&amp;Prognoseergebnis!C130,'Fallzahlen (Berechnung)'!E:E)-'Fallzahlen (Berechnung)'!$E$1</f>
        <v>835413.38957738178</v>
      </c>
      <c r="E130" s="115">
        <f>VLOOKUP(C130,'Fallzahlen (Berechnung)'!$D:$E,'Fallzahlen (Berechnung)'!$E$1,FALSE)</f>
        <v>4411.2350802795154</v>
      </c>
      <c r="G130" s="18">
        <v>121</v>
      </c>
      <c r="H130" s="5">
        <f>ROUND('Erkrankungs- und Strukturdaten'!$C$8*D130-IF(G130&gt;'Erkrankungs- und Strukturdaten'!$C$14,VLOOKUP(Prognoseergebnis!G130-ROUNDDOWN('Erkrankungs- und Strukturdaten'!$C$14,0),$A:$D,$D$6,FALSE)*'Erkrankungs- und Strukturdaten'!$C$8,0)
+IF(G130&gt;'Erkrankungs- und Strukturdaten'!$C$15,VLOOKUP(Prognoseergebnis!G130-ROUNDDOWN('Erkrankungs- und Strukturdaten'!$C$15,0),A:D,$D$6,FALSE)*'Erkrankungs- und Strukturdaten'!$C$9,0)
-IF(G130&gt;'Erkrankungs- und Strukturdaten'!$C$15+'Erkrankungs- und Strukturdaten'!$C$16,VLOOKUP(Prognoseergebnis!G130-ROUNDDOWN('Erkrankungs- und Strukturdaten'!$C$15-'Erkrankungs- und Strukturdaten'!$C$16,0),A:D,$D$6,FALSE)*'Erkrankungs- und Strukturdaten'!$C$9,0),0)</f>
        <v>3999</v>
      </c>
      <c r="I130" s="5">
        <f>ROUND('Erkrankungs- und Strukturdaten'!$C$9*D130-IF(G130&gt;'Erkrankungs- und Strukturdaten'!$C$15,VLOOKUP(Prognoseergebnis!G130-'Erkrankungs- und Strukturdaten'!$C$15,$A:$D,$D$6,FALSE)*'Erkrankungs- und Strukturdaten'!$C$9,0),0)</f>
        <v>697</v>
      </c>
      <c r="J130" s="5">
        <f>I130*'Erkrankungs- und Strukturdaten'!$C$10/'Erkrankungs- und Strukturdaten'!$C$9</f>
        <v>341.53</v>
      </c>
      <c r="K130" s="5">
        <f>I130*'Erkrankungs- und Strukturdaten'!$C$21</f>
        <v>13940</v>
      </c>
      <c r="L130" s="11"/>
      <c r="M130" s="82">
        <f>SUM($K$66:K130)</f>
        <v>641280</v>
      </c>
      <c r="N130" s="9"/>
      <c r="O130" s="5">
        <f>IF(AND(((H130/'Erkrankungs- und Strukturdaten'!$C$25)*'Erkrankungs- und Strukturdaten'!$E$27)+(H130/'Erkrankungs- und Strukturdaten'!$C$26)&lt;1,((H130/'Erkrankungs- und Strukturdaten'!$C$25)*'Erkrankungs- und Strukturdaten'!$E$27)+(H130/'Erkrankungs- und Strukturdaten'!$C$26)&gt;0),1,((H130/'Erkrankungs- und Strukturdaten'!$C$25)*'Erkrankungs- und Strukturdaten'!$E$27)+(H130/'Erkrankungs- und Strukturdaten'!$C$26))</f>
        <v>1732.9</v>
      </c>
      <c r="P130" s="5">
        <f>ROUNDUP(((I130/'Erkrankungs- und Strukturdaten'!$C$28)*'Erkrankungs- und Strukturdaten'!$E$30)+(I130/'Erkrankungs- und Strukturdaten'!$C$29),0)</f>
        <v>757</v>
      </c>
      <c r="Q130" s="5">
        <f>ROUNDUP((H130/'Erkrankungs- und Strukturdaten'!$C$34*'Erkrankungs- und Strukturdaten'!$E$36)+(H130/'Erkrankungs- und Strukturdaten'!$C$35),0)</f>
        <v>278</v>
      </c>
      <c r="R130" s="5">
        <f>ROUNDUP((I130*'Erkrankungs- und Strukturdaten'!$C$40/'Erkrankungs- und Strukturdaten'!$C$38*'Erkrankungs- und Strukturdaten'!$E$39)+(I130*(1-'Erkrankungs- und Strukturdaten'!$C$40)/'Erkrankungs- und Strukturdaten'!$C$37*'Erkrankungs- und Strukturdaten'!$E$39),0)</f>
        <v>96</v>
      </c>
      <c r="S130" s="52"/>
      <c r="U130" s="44">
        <f>((H130/'Erkrankungs- und Strukturdaten'!$C$25)*'Erkrankungs- und Strukturdaten'!$E$27*'Erkrankungs- und Strukturdaten'!$F$27)+(H130/'Erkrankungs- und Strukturdaten'!$C$26*'Erkrankungs- und Strukturdaten'!$G$27)</f>
        <v>14263.1</v>
      </c>
      <c r="V130" s="44">
        <f>(I130/'Erkrankungs- und Strukturdaten'!$C$28*'Erkrankungs- und Strukturdaten'!$E$30*'Erkrankungs- und Strukturdaten'!$F$30)+(I130/'Erkrankungs- und Strukturdaten'!$C$29*'Erkrankungs- und Strukturdaten'!$G$30)</f>
        <v>6185.3771428571436</v>
      </c>
      <c r="AB130" s="2">
        <f t="shared" si="3"/>
        <v>44365</v>
      </c>
    </row>
    <row r="131" spans="1:28" ht="15" x14ac:dyDescent="0.2">
      <c r="A131" s="42">
        <v>122</v>
      </c>
      <c r="B131" s="371"/>
      <c r="C131" s="27">
        <f t="shared" ref="C131:C170" si="5">C130+1</f>
        <v>44366</v>
      </c>
      <c r="D131" s="6">
        <f>SUMIF('Fallzahlen (Berechnung)'!D:D,"&lt;="&amp;Prognoseergebnis!C131,'Fallzahlen (Berechnung)'!E:E)-'Fallzahlen (Berechnung)'!$E$1</f>
        <v>838728.76383526367</v>
      </c>
      <c r="E131" s="114">
        <f>VLOOKUP(C131,'Fallzahlen (Berechnung)'!$D:$E,'Fallzahlen (Berechnung)'!$E$1,FALSE)</f>
        <v>3315.3742578818392</v>
      </c>
      <c r="G131" s="18">
        <v>122</v>
      </c>
      <c r="H131" s="6">
        <f>ROUND('Erkrankungs- und Strukturdaten'!$C$8*D131-IF(G131&gt;'Erkrankungs- und Strukturdaten'!$C$14,VLOOKUP(Prognoseergebnis!G131-ROUNDDOWN('Erkrankungs- und Strukturdaten'!$C$14,0),$A:$D,$D$6,FALSE)*'Erkrankungs- und Strukturdaten'!$C$8,0)
+IF(G131&gt;'Erkrankungs- und Strukturdaten'!$C$15,VLOOKUP(Prognoseergebnis!G131-ROUNDDOWN('Erkrankungs- und Strukturdaten'!$C$15,0),A:D,$D$6,FALSE)*'Erkrankungs- und Strukturdaten'!$C$9,0)
-IF(G131&gt;'Erkrankungs- und Strukturdaten'!$C$15+'Erkrankungs- und Strukturdaten'!$C$16,VLOOKUP(Prognoseergebnis!G131-ROUNDDOWN('Erkrankungs- und Strukturdaten'!$C$15-'Erkrankungs- und Strukturdaten'!$C$16,0),A:D,$D$6,FALSE)*'Erkrankungs- und Strukturdaten'!$C$9,0),0)</f>
        <v>4025</v>
      </c>
      <c r="I131" s="6">
        <f>ROUND('Erkrankungs- und Strukturdaten'!$C$9*D131-IF(G131&gt;'Erkrankungs- und Strukturdaten'!$C$15,VLOOKUP(Prognoseergebnis!G131-'Erkrankungs- und Strukturdaten'!$C$15,$A:$D,$D$6,FALSE)*'Erkrankungs- und Strukturdaten'!$C$9,0),0)</f>
        <v>692</v>
      </c>
      <c r="J131" s="6">
        <f>I131*'Erkrankungs- und Strukturdaten'!$C$10/'Erkrankungs- und Strukturdaten'!$C$9</f>
        <v>339.08</v>
      </c>
      <c r="K131" s="6">
        <f>I131*'Erkrankungs- und Strukturdaten'!$C$21</f>
        <v>13840</v>
      </c>
      <c r="L131" s="11"/>
      <c r="M131" s="82">
        <f>SUM($K$66:K131)</f>
        <v>655120</v>
      </c>
      <c r="N131" s="9"/>
      <c r="O131" s="6">
        <f>IF(AND(((H131/'Erkrankungs- und Strukturdaten'!$C$25)*'Erkrankungs- und Strukturdaten'!$E$27)+(H131/'Erkrankungs- und Strukturdaten'!$C$26)&lt;1,((H131/'Erkrankungs- und Strukturdaten'!$C$25)*'Erkrankungs- und Strukturdaten'!$E$27)+(H131/'Erkrankungs- und Strukturdaten'!$C$26)&gt;0),1,((H131/'Erkrankungs- und Strukturdaten'!$C$25)*'Erkrankungs- und Strukturdaten'!$E$27)+(H131/'Erkrankungs- und Strukturdaten'!$C$26))</f>
        <v>1744.1666666666667</v>
      </c>
      <c r="P131" s="6">
        <f>ROUNDUP(((I131/'Erkrankungs- und Strukturdaten'!$C$28)*'Erkrankungs- und Strukturdaten'!$E$30)+(I131/'Erkrankungs- und Strukturdaten'!$C$29),0)</f>
        <v>752</v>
      </c>
      <c r="Q131" s="6">
        <f>ROUNDUP((H131/'Erkrankungs- und Strukturdaten'!$C$34*'Erkrankungs- und Strukturdaten'!$E$36)+(H131/'Erkrankungs- und Strukturdaten'!$C$35),0)</f>
        <v>280</v>
      </c>
      <c r="R131" s="6">
        <f>ROUNDUP((I131*'Erkrankungs- und Strukturdaten'!$C$40/'Erkrankungs- und Strukturdaten'!$C$38*'Erkrankungs- und Strukturdaten'!$E$39)+(I131*(1-'Erkrankungs- und Strukturdaten'!$C$40)/'Erkrankungs- und Strukturdaten'!$C$37*'Erkrankungs- und Strukturdaten'!$E$39),0)</f>
        <v>95</v>
      </c>
      <c r="S131" s="52"/>
      <c r="U131" s="44">
        <f>((H131/'Erkrankungs- und Strukturdaten'!$C$25)*'Erkrankungs- und Strukturdaten'!$E$27*'Erkrankungs- und Strukturdaten'!$F$27)+(H131/'Erkrankungs- und Strukturdaten'!$C$26*'Erkrankungs- und Strukturdaten'!$G$27)</f>
        <v>14355.833333333334</v>
      </c>
      <c r="V131" s="44">
        <f>(I131/'Erkrankungs- und Strukturdaten'!$C$28*'Erkrankungs- und Strukturdaten'!$E$30*'Erkrankungs- und Strukturdaten'!$F$30)+(I131/'Erkrankungs- und Strukturdaten'!$C$29*'Erkrankungs- und Strukturdaten'!$G$30)</f>
        <v>6141.0057142857149</v>
      </c>
      <c r="AB131" s="2">
        <f>C131</f>
        <v>44366</v>
      </c>
    </row>
    <row r="132" spans="1:28" ht="15" x14ac:dyDescent="0.2">
      <c r="A132" s="42">
        <v>123</v>
      </c>
      <c r="B132" s="371"/>
      <c r="C132" s="28">
        <f t="shared" si="5"/>
        <v>44367</v>
      </c>
      <c r="D132" s="5">
        <f>SUMIF('Fallzahlen (Berechnung)'!D:D,"&lt;="&amp;Prognoseergebnis!C132,'Fallzahlen (Berechnung)'!E:E)-'Fallzahlen (Berechnung)'!$E$1</f>
        <v>841240.216835976</v>
      </c>
      <c r="E132" s="115">
        <f>VLOOKUP(C132,'Fallzahlen (Berechnung)'!$D:$E,'Fallzahlen (Berechnung)'!$E$1,FALSE)</f>
        <v>2511.4530007122703</v>
      </c>
      <c r="G132" s="18">
        <v>123</v>
      </c>
      <c r="H132" s="5">
        <f>ROUND('Erkrankungs- und Strukturdaten'!$C$8*D132-IF(G132&gt;'Erkrankungs- und Strukturdaten'!$C$14,VLOOKUP(Prognoseergebnis!G132-ROUNDDOWN('Erkrankungs- und Strukturdaten'!$C$14,0),$A:$D,$D$6,FALSE)*'Erkrankungs- und Strukturdaten'!$C$8,0)
+IF(G132&gt;'Erkrankungs- und Strukturdaten'!$C$15,VLOOKUP(Prognoseergebnis!G132-ROUNDDOWN('Erkrankungs- und Strukturdaten'!$C$15,0),A:D,$D$6,FALSE)*'Erkrankungs- und Strukturdaten'!$C$9,0)
-IF(G132&gt;'Erkrankungs- und Strukturdaten'!$C$15+'Erkrankungs- und Strukturdaten'!$C$16,VLOOKUP(Prognoseergebnis!G132-ROUNDDOWN('Erkrankungs- und Strukturdaten'!$C$15-'Erkrankungs- und Strukturdaten'!$C$16,0),A:D,$D$6,FALSE)*'Erkrankungs- und Strukturdaten'!$C$9,0),0)</f>
        <v>4039</v>
      </c>
      <c r="I132" s="5">
        <f>ROUND('Erkrankungs- und Strukturdaten'!$C$9*D132-IF(G132&gt;'Erkrankungs- und Strukturdaten'!$C$15,VLOOKUP(Prognoseergebnis!G132-'Erkrankungs- und Strukturdaten'!$C$15,$A:$D,$D$6,FALSE)*'Erkrankungs- und Strukturdaten'!$C$9,0),0)</f>
        <v>688</v>
      </c>
      <c r="J132" s="5">
        <f>I132*'Erkrankungs- und Strukturdaten'!$C$10/'Erkrankungs- und Strukturdaten'!$C$9</f>
        <v>337.12</v>
      </c>
      <c r="K132" s="5">
        <f>I132*'Erkrankungs- und Strukturdaten'!$C$21</f>
        <v>13760</v>
      </c>
      <c r="L132" s="11"/>
      <c r="M132" s="82">
        <f>SUM($K$66:K132)</f>
        <v>668880</v>
      </c>
      <c r="N132" s="9"/>
      <c r="O132" s="5">
        <f>IF(AND(((H132/'Erkrankungs- und Strukturdaten'!$C$25)*'Erkrankungs- und Strukturdaten'!$E$27)+(H132/'Erkrankungs- und Strukturdaten'!$C$26)&lt;1,((H132/'Erkrankungs- und Strukturdaten'!$C$25)*'Erkrankungs- und Strukturdaten'!$E$27)+(H132/'Erkrankungs- und Strukturdaten'!$C$26)&gt;0),1,((H132/'Erkrankungs- und Strukturdaten'!$C$25)*'Erkrankungs- und Strukturdaten'!$E$27)+(H132/'Erkrankungs- und Strukturdaten'!$C$26))</f>
        <v>1750.2333333333331</v>
      </c>
      <c r="P132" s="5">
        <f>ROUNDUP(((I132/'Erkrankungs- und Strukturdaten'!$C$28)*'Erkrankungs- und Strukturdaten'!$E$30)+(I132/'Erkrankungs- und Strukturdaten'!$C$29),0)</f>
        <v>747</v>
      </c>
      <c r="Q132" s="5">
        <f>ROUNDUP((H132/'Erkrankungs- und Strukturdaten'!$C$34*'Erkrankungs- und Strukturdaten'!$E$36)+(H132/'Erkrankungs- und Strukturdaten'!$C$35),0)</f>
        <v>281</v>
      </c>
      <c r="R132" s="5">
        <f>ROUNDUP((I132*'Erkrankungs- und Strukturdaten'!$C$40/'Erkrankungs- und Strukturdaten'!$C$38*'Erkrankungs- und Strukturdaten'!$E$39)+(I132*(1-'Erkrankungs- und Strukturdaten'!$C$40)/'Erkrankungs- und Strukturdaten'!$C$37*'Erkrankungs- und Strukturdaten'!$E$39),0)</f>
        <v>95</v>
      </c>
      <c r="S132" s="52"/>
      <c r="U132" s="44">
        <f>((H132/'Erkrankungs- und Strukturdaten'!$C$25)*'Erkrankungs- und Strukturdaten'!$E$27*'Erkrankungs- und Strukturdaten'!$F$27)+(H132/'Erkrankungs- und Strukturdaten'!$C$26*'Erkrankungs- und Strukturdaten'!$G$27)</f>
        <v>14405.766666666666</v>
      </c>
      <c r="V132" s="44">
        <f>(I132/'Erkrankungs- und Strukturdaten'!$C$28*'Erkrankungs- und Strukturdaten'!$E$30*'Erkrankungs- und Strukturdaten'!$F$30)+(I132/'Erkrankungs- und Strukturdaten'!$C$29*'Erkrankungs- und Strukturdaten'!$G$30)</f>
        <v>6105.5085714285715</v>
      </c>
      <c r="AB132" s="2">
        <f>C132</f>
        <v>44367</v>
      </c>
    </row>
    <row r="133" spans="1:28" ht="15" x14ac:dyDescent="0.2">
      <c r="A133" s="42">
        <v>124</v>
      </c>
      <c r="B133" s="371"/>
      <c r="C133" s="27">
        <f t="shared" si="5"/>
        <v>44368</v>
      </c>
      <c r="D133" s="6">
        <f>SUMIF('Fallzahlen (Berechnung)'!D:D,"&lt;="&amp;Prognoseergebnis!C133,'Fallzahlen (Berechnung)'!E:E)-'Fallzahlen (Berechnung)'!$E$1</f>
        <v>846870.66688767192</v>
      </c>
      <c r="E133" s="114">
        <f>VLOOKUP(C133,'Fallzahlen (Berechnung)'!$D:$E,'Fallzahlen (Berechnung)'!$E$1,FALSE)</f>
        <v>5630.4500516959806</v>
      </c>
      <c r="G133" s="18">
        <v>124</v>
      </c>
      <c r="H133" s="6">
        <f>ROUND('Erkrankungs- und Strukturdaten'!$C$8*D133-IF(G133&gt;'Erkrankungs- und Strukturdaten'!$C$14,VLOOKUP(Prognoseergebnis!G133-ROUNDDOWN('Erkrankungs- und Strukturdaten'!$C$14,0),$A:$D,$D$6,FALSE)*'Erkrankungs- und Strukturdaten'!$C$8,0)
+IF(G133&gt;'Erkrankungs- und Strukturdaten'!$C$15,VLOOKUP(Prognoseergebnis!G133-ROUNDDOWN('Erkrankungs- und Strukturdaten'!$C$15,0),A:D,$D$6,FALSE)*'Erkrankungs- und Strukturdaten'!$C$9,0)
-IF(G133&gt;'Erkrankungs- und Strukturdaten'!$C$15+'Erkrankungs- und Strukturdaten'!$C$16,VLOOKUP(Prognoseergebnis!G133-ROUNDDOWN('Erkrankungs- und Strukturdaten'!$C$15-'Erkrankungs- und Strukturdaten'!$C$16,0),A:D,$D$6,FALSE)*'Erkrankungs- und Strukturdaten'!$C$9,0),0)</f>
        <v>4090</v>
      </c>
      <c r="I133" s="6">
        <f>ROUND('Erkrankungs- und Strukturdaten'!$C$9*D133-IF(G133&gt;'Erkrankungs- und Strukturdaten'!$C$15,VLOOKUP(Prognoseergebnis!G133-'Erkrankungs- und Strukturdaten'!$C$15,$A:$D,$D$6,FALSE)*'Erkrankungs- und Strukturdaten'!$C$9,0),0)</f>
        <v>728</v>
      </c>
      <c r="J133" s="6">
        <f>I133*'Erkrankungs- und Strukturdaten'!$C$10/'Erkrankungs- und Strukturdaten'!$C$9</f>
        <v>356.72</v>
      </c>
      <c r="K133" s="6">
        <f>I133*'Erkrankungs- und Strukturdaten'!$C$21</f>
        <v>14560</v>
      </c>
      <c r="L133" s="11"/>
      <c r="M133" s="82">
        <f>SUM($K$66:K133)</f>
        <v>683440</v>
      </c>
      <c r="N133" s="9"/>
      <c r="O133" s="6">
        <f>IF(AND(((H133/'Erkrankungs- und Strukturdaten'!$C$25)*'Erkrankungs- und Strukturdaten'!$E$27)+(H133/'Erkrankungs- und Strukturdaten'!$C$26)&lt;1,((H133/'Erkrankungs- und Strukturdaten'!$C$25)*'Erkrankungs- und Strukturdaten'!$E$27)+(H133/'Erkrankungs- und Strukturdaten'!$C$26)&gt;0),1,((H133/'Erkrankungs- und Strukturdaten'!$C$25)*'Erkrankungs- und Strukturdaten'!$E$27)+(H133/'Erkrankungs- und Strukturdaten'!$C$26))</f>
        <v>1772.3333333333333</v>
      </c>
      <c r="P133" s="6">
        <f>ROUNDUP(((I133/'Erkrankungs- und Strukturdaten'!$C$28)*'Erkrankungs- und Strukturdaten'!$E$30)+(I133/'Erkrankungs- und Strukturdaten'!$C$29),0)</f>
        <v>791</v>
      </c>
      <c r="Q133" s="6">
        <f>ROUNDUP((H133/'Erkrankungs- und Strukturdaten'!$C$34*'Erkrankungs- und Strukturdaten'!$E$36)+(H133/'Erkrankungs- und Strukturdaten'!$C$35),0)</f>
        <v>285</v>
      </c>
      <c r="R133" s="6">
        <f>ROUNDUP((I133*'Erkrankungs- und Strukturdaten'!$C$40/'Erkrankungs- und Strukturdaten'!$C$38*'Erkrankungs- und Strukturdaten'!$E$39)+(I133*(1-'Erkrankungs- und Strukturdaten'!$C$40)/'Erkrankungs- und Strukturdaten'!$C$37*'Erkrankungs- und Strukturdaten'!$E$39),0)</f>
        <v>100</v>
      </c>
      <c r="S133" s="52"/>
      <c r="U133" s="44">
        <f>((H133/'Erkrankungs- und Strukturdaten'!$C$25)*'Erkrankungs- und Strukturdaten'!$E$27*'Erkrankungs- und Strukturdaten'!$F$27)+(H133/'Erkrankungs- und Strukturdaten'!$C$26*'Erkrankungs- und Strukturdaten'!$G$27)</f>
        <v>14587.666666666666</v>
      </c>
      <c r="V133" s="44">
        <f>(I133/'Erkrankungs- und Strukturdaten'!$C$28*'Erkrankungs- und Strukturdaten'!$E$30*'Erkrankungs- und Strukturdaten'!$F$30)+(I133/'Erkrankungs- und Strukturdaten'!$C$29*'Erkrankungs- und Strukturdaten'!$G$30)</f>
        <v>6460.48</v>
      </c>
      <c r="AB133" s="2">
        <f>C133</f>
        <v>44368</v>
      </c>
    </row>
    <row r="134" spans="1:28" ht="15" x14ac:dyDescent="0.2">
      <c r="A134" s="42">
        <v>125</v>
      </c>
      <c r="B134" s="371"/>
      <c r="C134" s="28">
        <f t="shared" si="5"/>
        <v>44369</v>
      </c>
      <c r="D134" s="5">
        <f>SUMIF('Fallzahlen (Berechnung)'!D:D,"&lt;="&amp;Prognoseergebnis!C134,'Fallzahlen (Berechnung)'!E:E)-'Fallzahlen (Berechnung)'!$E$1</f>
        <v>852750.52733755193</v>
      </c>
      <c r="E134" s="115">
        <f>VLOOKUP(C134,'Fallzahlen (Berechnung)'!$D:$E,'Fallzahlen (Berechnung)'!$E$1,FALSE)</f>
        <v>5879.8604498799923</v>
      </c>
      <c r="G134" s="18">
        <v>125</v>
      </c>
      <c r="H134" s="5">
        <f>ROUND('Erkrankungs- und Strukturdaten'!$C$8*D134-IF(G134&gt;'Erkrankungs- und Strukturdaten'!$C$14,VLOOKUP(Prognoseergebnis!G134-ROUNDDOWN('Erkrankungs- und Strukturdaten'!$C$14,0),$A:$D,$D$6,FALSE)*'Erkrankungs- und Strukturdaten'!$C$8,0)
+IF(G134&gt;'Erkrankungs- und Strukturdaten'!$C$15,VLOOKUP(Prognoseergebnis!G134-ROUNDDOWN('Erkrankungs- und Strukturdaten'!$C$15,0),A:D,$D$6,FALSE)*'Erkrankungs- und Strukturdaten'!$C$9,0)
-IF(G134&gt;'Erkrankungs- und Strukturdaten'!$C$15+'Erkrankungs- und Strukturdaten'!$C$16,VLOOKUP(Prognoseergebnis!G134-ROUNDDOWN('Erkrankungs- und Strukturdaten'!$C$15-'Erkrankungs- und Strukturdaten'!$C$16,0),A:D,$D$6,FALSE)*'Erkrankungs- und Strukturdaten'!$C$9,0),0)</f>
        <v>4182</v>
      </c>
      <c r="I134" s="5">
        <f>ROUND('Erkrankungs- und Strukturdaten'!$C$9*D134-IF(G134&gt;'Erkrankungs- und Strukturdaten'!$C$15,VLOOKUP(Prognoseergebnis!G134-'Erkrankungs- und Strukturdaten'!$C$15,$A:$D,$D$6,FALSE)*'Erkrankungs- und Strukturdaten'!$C$9,0),0)</f>
        <v>740</v>
      </c>
      <c r="J134" s="5">
        <f>I134*'Erkrankungs- und Strukturdaten'!$C$10/'Erkrankungs- und Strukturdaten'!$C$9</f>
        <v>362.6</v>
      </c>
      <c r="K134" s="5">
        <f>I134*'Erkrankungs- und Strukturdaten'!$C$21</f>
        <v>14800</v>
      </c>
      <c r="L134" s="11"/>
      <c r="M134" s="82">
        <f>SUM($K$66:K134)</f>
        <v>698240</v>
      </c>
      <c r="N134" s="9"/>
      <c r="O134" s="5">
        <f>IF(AND(((H134/'Erkrankungs- und Strukturdaten'!$C$25)*'Erkrankungs- und Strukturdaten'!$E$27)+(H134/'Erkrankungs- und Strukturdaten'!$C$26)&lt;1,((H134/'Erkrankungs- und Strukturdaten'!$C$25)*'Erkrankungs- und Strukturdaten'!$E$27)+(H134/'Erkrankungs- und Strukturdaten'!$C$26)&gt;0),1,((H134/'Erkrankungs- und Strukturdaten'!$C$25)*'Erkrankungs- und Strukturdaten'!$E$27)+(H134/'Erkrankungs- und Strukturdaten'!$C$26))</f>
        <v>1812.2</v>
      </c>
      <c r="P134" s="5">
        <f>ROUNDUP(((I134/'Erkrankungs- und Strukturdaten'!$C$28)*'Erkrankungs- und Strukturdaten'!$E$30)+(I134/'Erkrankungs- und Strukturdaten'!$C$29),0)</f>
        <v>804</v>
      </c>
      <c r="Q134" s="5">
        <f>ROUNDUP((H134/'Erkrankungs- und Strukturdaten'!$C$34*'Erkrankungs- und Strukturdaten'!$E$36)+(H134/'Erkrankungs- und Strukturdaten'!$C$35),0)</f>
        <v>291</v>
      </c>
      <c r="R134" s="5">
        <f>ROUNDUP((I134*'Erkrankungs- und Strukturdaten'!$C$40/'Erkrankungs- und Strukturdaten'!$C$38*'Erkrankungs- und Strukturdaten'!$E$39)+(I134*(1-'Erkrankungs- und Strukturdaten'!$C$40)/'Erkrankungs- und Strukturdaten'!$C$37*'Erkrankungs- und Strukturdaten'!$E$39),0)</f>
        <v>102</v>
      </c>
      <c r="S134" s="52"/>
      <c r="U134" s="44">
        <f>((H134/'Erkrankungs- und Strukturdaten'!$C$25)*'Erkrankungs- und Strukturdaten'!$E$27*'Erkrankungs- und Strukturdaten'!$F$27)+(H134/'Erkrankungs- und Strukturdaten'!$C$26*'Erkrankungs- und Strukturdaten'!$G$27)</f>
        <v>14915.800000000001</v>
      </c>
      <c r="V134" s="44">
        <f>(I134/'Erkrankungs- und Strukturdaten'!$C$28*'Erkrankungs- und Strukturdaten'!$E$30*'Erkrankungs- und Strukturdaten'!$F$30)+(I134/'Erkrankungs- und Strukturdaten'!$C$29*'Erkrankungs- und Strukturdaten'!$G$30)</f>
        <v>6566.971428571429</v>
      </c>
      <c r="AB134" s="2">
        <f>C134</f>
        <v>44369</v>
      </c>
    </row>
    <row r="135" spans="1:28" ht="15" x14ac:dyDescent="0.2">
      <c r="A135" s="42">
        <v>126</v>
      </c>
      <c r="B135" s="371"/>
      <c r="C135" s="73">
        <f t="shared" si="5"/>
        <v>44370</v>
      </c>
      <c r="D135" s="74">
        <f>SUMIF('Fallzahlen (Berechnung)'!D:D,"&lt;="&amp;Prognoseergebnis!C135,'Fallzahlen (Berechnung)'!E:E)-'Fallzahlen (Berechnung)'!$E$1</f>
        <v>858159.35192059528</v>
      </c>
      <c r="E135" s="119">
        <f>VLOOKUP(C135,'Fallzahlen (Berechnung)'!$D:$E,'Fallzahlen (Berechnung)'!$E$1,FALSE)</f>
        <v>5408.8245830433707</v>
      </c>
      <c r="G135" s="18">
        <v>126</v>
      </c>
      <c r="H135" s="74">
        <f>ROUND('Erkrankungs- und Strukturdaten'!$C$8*D135-IF(G135&gt;'Erkrankungs- und Strukturdaten'!$C$14,VLOOKUP(Prognoseergebnis!G135-ROUNDDOWN('Erkrankungs- und Strukturdaten'!$C$14,0),$A:$D,$D$6,FALSE)*'Erkrankungs- und Strukturdaten'!$C$8,0)
+IF(G135&gt;'Erkrankungs- und Strukturdaten'!$C$15,VLOOKUP(Prognoseergebnis!G135-ROUNDDOWN('Erkrankungs- und Strukturdaten'!$C$15,0),A:D,$D$6,FALSE)*'Erkrankungs- und Strukturdaten'!$C$9,0)
-IF(G135&gt;'Erkrankungs- und Strukturdaten'!$C$15+'Erkrankungs- und Strukturdaten'!$C$16,VLOOKUP(Prognoseergebnis!G135-ROUNDDOWN('Erkrankungs- und Strukturdaten'!$C$15-'Erkrankungs- und Strukturdaten'!$C$16,0),A:D,$D$6,FALSE)*'Erkrankungs- und Strukturdaten'!$C$9,0),0)</f>
        <v>4239</v>
      </c>
      <c r="I135" s="74">
        <f>ROUND('Erkrankungs- und Strukturdaten'!$C$9*D135-IF(G135&gt;'Erkrankungs- und Strukturdaten'!$C$15,VLOOKUP(Prognoseergebnis!G135-'Erkrankungs- und Strukturdaten'!$C$15,$A:$D,$D$6,FALSE)*'Erkrankungs- und Strukturdaten'!$C$9,0),0)</f>
        <v>744</v>
      </c>
      <c r="J135" s="74">
        <f>I135*'Erkrankungs- und Strukturdaten'!$C$10/'Erkrankungs- und Strukturdaten'!$C$9</f>
        <v>364.56</v>
      </c>
      <c r="K135" s="74">
        <f>I135*'Erkrankungs- und Strukturdaten'!$C$21</f>
        <v>14880</v>
      </c>
      <c r="L135" s="11"/>
      <c r="M135" s="82">
        <f>SUM($K$66:K135)</f>
        <v>713120</v>
      </c>
      <c r="N135" s="9"/>
      <c r="O135" s="74">
        <f>IF(AND(((H135/'Erkrankungs- und Strukturdaten'!$C$25)*'Erkrankungs- und Strukturdaten'!$E$27)+(H135/'Erkrankungs- und Strukturdaten'!$C$26)&lt;1,((H135/'Erkrankungs- und Strukturdaten'!$C$25)*'Erkrankungs- und Strukturdaten'!$E$27)+(H135/'Erkrankungs- und Strukturdaten'!$C$26)&gt;0),1,((H135/'Erkrankungs- und Strukturdaten'!$C$25)*'Erkrankungs- und Strukturdaten'!$E$27)+(H135/'Erkrankungs- und Strukturdaten'!$C$26))</f>
        <v>1836.9</v>
      </c>
      <c r="P135" s="74">
        <f>ROUNDUP(((I135/'Erkrankungs- und Strukturdaten'!$C$28)*'Erkrankungs- und Strukturdaten'!$E$30)+(I135/'Erkrankungs- und Strukturdaten'!$C$29),0)</f>
        <v>808</v>
      </c>
      <c r="Q135" s="74">
        <f>ROUNDUP((H135/'Erkrankungs- und Strukturdaten'!$C$34*'Erkrankungs- und Strukturdaten'!$E$36)+(H135/'Erkrankungs- und Strukturdaten'!$C$35),0)</f>
        <v>295</v>
      </c>
      <c r="R135" s="74">
        <f>ROUNDUP((I135*'Erkrankungs- und Strukturdaten'!$C$40/'Erkrankungs- und Strukturdaten'!$C$38*'Erkrankungs- und Strukturdaten'!$E$39)+(I135*(1-'Erkrankungs- und Strukturdaten'!$C$40)/'Erkrankungs- und Strukturdaten'!$C$37*'Erkrankungs- und Strukturdaten'!$E$39),0)</f>
        <v>102</v>
      </c>
      <c r="S135" s="52"/>
      <c r="U135" s="44">
        <f>((H135/'Erkrankungs- und Strukturdaten'!$C$25)*'Erkrankungs- und Strukturdaten'!$E$27*'Erkrankungs- und Strukturdaten'!$F$27)+(H135/'Erkrankungs- und Strukturdaten'!$C$26*'Erkrankungs- und Strukturdaten'!$G$27)</f>
        <v>15119.1</v>
      </c>
      <c r="V135" s="44">
        <f>(I135/'Erkrankungs- und Strukturdaten'!$C$28*'Erkrankungs- und Strukturdaten'!$E$30*'Erkrankungs- und Strukturdaten'!$F$30)+(I135/'Erkrankungs- und Strukturdaten'!$C$29*'Erkrankungs- und Strukturdaten'!$G$30)</f>
        <v>6602.4685714285724</v>
      </c>
      <c r="AB135" s="2">
        <f>C135</f>
        <v>44370</v>
      </c>
    </row>
    <row r="136" spans="1:28" ht="15" x14ac:dyDescent="0.2">
      <c r="A136" s="42">
        <v>127</v>
      </c>
      <c r="B136" s="370" t="s">
        <v>202</v>
      </c>
      <c r="C136" s="78">
        <f t="shared" si="5"/>
        <v>44371</v>
      </c>
      <c r="D136" s="4">
        <f>SUMIF('Fallzahlen (Berechnung)'!D:D,"&lt;="&amp;Prognoseergebnis!C136,'Fallzahlen (Berechnung)'!E:E)-'Fallzahlen (Berechnung)'!$E$1</f>
        <v>863622.0107429229</v>
      </c>
      <c r="E136" s="116">
        <f>VLOOKUP(C136,'Fallzahlen (Berechnung)'!$D:$E,'Fallzahlen (Berechnung)'!$E$1,FALSE)</f>
        <v>5462.658822327583</v>
      </c>
      <c r="G136" s="18">
        <v>127</v>
      </c>
      <c r="H136" s="4">
        <f>ROUND('Erkrankungs- und Strukturdaten'!$C$8*D136-IF(G136&gt;'Erkrankungs- und Strukturdaten'!$C$14,VLOOKUP(Prognoseergebnis!G136-ROUNDDOWN('Erkrankungs- und Strukturdaten'!$C$14,0),$A:$D,$D$6,FALSE)*'Erkrankungs- und Strukturdaten'!$C$8,0)
+IF(G136&gt;'Erkrankungs- und Strukturdaten'!$C$15,VLOOKUP(Prognoseergebnis!G136-ROUNDDOWN('Erkrankungs- und Strukturdaten'!$C$15,0),A:D,$D$6,FALSE)*'Erkrankungs- und Strukturdaten'!$C$9,0)
-IF(G136&gt;'Erkrankungs- und Strukturdaten'!$C$15+'Erkrankungs- und Strukturdaten'!$C$16,VLOOKUP(Prognoseergebnis!G136-ROUNDDOWN('Erkrankungs- und Strukturdaten'!$C$15-'Erkrankungs- und Strukturdaten'!$C$16,0),A:D,$D$6,FALSE)*'Erkrankungs- und Strukturdaten'!$C$9,0),0)</f>
        <v>4290</v>
      </c>
      <c r="I136" s="4">
        <f>ROUND('Erkrankungs- und Strukturdaten'!$C$9*D136-IF(G136&gt;'Erkrankungs- und Strukturdaten'!$C$15,VLOOKUP(Prognoseergebnis!G136-'Erkrankungs- und Strukturdaten'!$C$15,$A:$D,$D$6,FALSE)*'Erkrankungs- und Strukturdaten'!$C$9,0),0)</f>
        <v>754</v>
      </c>
      <c r="J136" s="4">
        <f>I136*'Erkrankungs- und Strukturdaten'!$C$10/'Erkrankungs- und Strukturdaten'!$C$9</f>
        <v>369.46</v>
      </c>
      <c r="K136" s="4">
        <f>I136*'Erkrankungs- und Strukturdaten'!$C$21</f>
        <v>15080</v>
      </c>
      <c r="L136" s="11"/>
      <c r="M136" s="82">
        <f>SUM($K$66:K136)</f>
        <v>728200</v>
      </c>
      <c r="N136" s="9"/>
      <c r="O136" s="4">
        <f>IF(AND(((H136/'Erkrankungs- und Strukturdaten'!$C$25)*'Erkrankungs- und Strukturdaten'!$E$27)+(H136/'Erkrankungs- und Strukturdaten'!$C$26)&lt;1,((H136/'Erkrankungs- und Strukturdaten'!$C$25)*'Erkrankungs- und Strukturdaten'!$E$27)+(H136/'Erkrankungs- und Strukturdaten'!$C$26)&gt;0),1,((H136/'Erkrankungs- und Strukturdaten'!$C$25)*'Erkrankungs- und Strukturdaten'!$E$27)+(H136/'Erkrankungs- und Strukturdaten'!$C$26))</f>
        <v>1859</v>
      </c>
      <c r="P136" s="4">
        <f>ROUNDUP(((I136/'Erkrankungs- und Strukturdaten'!$C$28)*'Erkrankungs- und Strukturdaten'!$E$30)+(I136/'Erkrankungs- und Strukturdaten'!$C$29),0)</f>
        <v>819</v>
      </c>
      <c r="Q136" s="4">
        <f>ROUNDUP((H136/'Erkrankungs- und Strukturdaten'!$C$34*'Erkrankungs- und Strukturdaten'!$E$36)+(H136/'Erkrankungs- und Strukturdaten'!$C$35),0)</f>
        <v>298</v>
      </c>
      <c r="R136" s="4">
        <f>ROUNDUP((I136*'Erkrankungs- und Strukturdaten'!$C$40/'Erkrankungs- und Strukturdaten'!$C$38*'Erkrankungs- und Strukturdaten'!$E$39)+(I136*(1-'Erkrankungs- und Strukturdaten'!$C$40)/'Erkrankungs- und Strukturdaten'!$C$37*'Erkrankungs- und Strukturdaten'!$E$39),0)</f>
        <v>104</v>
      </c>
      <c r="S136" s="52"/>
      <c r="U136" s="44">
        <f>((H136/'Erkrankungs- und Strukturdaten'!$C$25)*'Erkrankungs- und Strukturdaten'!$E$27*'Erkrankungs- und Strukturdaten'!$F$27)+(H136/'Erkrankungs- und Strukturdaten'!$C$26*'Erkrankungs- und Strukturdaten'!$G$27)</f>
        <v>15301</v>
      </c>
      <c r="V136" s="44">
        <f>(I136/'Erkrankungs- und Strukturdaten'!$C$28*'Erkrankungs- und Strukturdaten'!$E$30*'Erkrankungs- und Strukturdaten'!$F$30)+(I136/'Erkrankungs- und Strukturdaten'!$C$29*'Erkrankungs- und Strukturdaten'!$G$30)</f>
        <v>6691.2114285714288</v>
      </c>
      <c r="AB136" s="2">
        <f t="shared" ref="AB136:AB163" si="6">C136</f>
        <v>44371</v>
      </c>
    </row>
    <row r="137" spans="1:28" ht="15" x14ac:dyDescent="0.2">
      <c r="A137" s="42">
        <v>128</v>
      </c>
      <c r="B137" s="370"/>
      <c r="C137" s="27">
        <f t="shared" si="5"/>
        <v>44372</v>
      </c>
      <c r="D137" s="6">
        <f>SUMIF('Fallzahlen (Berechnung)'!D:D,"&lt;="&amp;Prognoseergebnis!C137,'Fallzahlen (Berechnung)'!E:E)-'Fallzahlen (Berechnung)'!$E$1</f>
        <v>868408.91028712317</v>
      </c>
      <c r="E137" s="114">
        <f>VLOOKUP(C137,'Fallzahlen (Berechnung)'!$D:$E,'Fallzahlen (Berechnung)'!$E$1,FALSE)</f>
        <v>4786.8995442002833</v>
      </c>
      <c r="G137" s="18">
        <v>128</v>
      </c>
      <c r="H137" s="6">
        <f>ROUND('Erkrankungs- und Strukturdaten'!$C$8*D137-IF(G137&gt;'Erkrankungs- und Strukturdaten'!$C$14,VLOOKUP(Prognoseergebnis!G137-ROUNDDOWN('Erkrankungs- und Strukturdaten'!$C$14,0),$A:$D,$D$6,FALSE)*'Erkrankungs- und Strukturdaten'!$C$8,0)
+IF(G137&gt;'Erkrankungs- und Strukturdaten'!$C$15,VLOOKUP(Prognoseergebnis!G137-ROUNDDOWN('Erkrankungs- und Strukturdaten'!$C$15,0),A:D,$D$6,FALSE)*'Erkrankungs- und Strukturdaten'!$C$9,0)
-IF(G137&gt;'Erkrankungs- und Strukturdaten'!$C$15+'Erkrankungs- und Strukturdaten'!$C$16,VLOOKUP(Prognoseergebnis!G137-ROUNDDOWN('Erkrankungs- und Strukturdaten'!$C$15-'Erkrankungs- und Strukturdaten'!$C$16,0),A:D,$D$6,FALSE)*'Erkrankungs- und Strukturdaten'!$C$9,0),0)</f>
        <v>4339</v>
      </c>
      <c r="I137" s="6">
        <f>ROUND('Erkrankungs- und Strukturdaten'!$C$9*D137-IF(G137&gt;'Erkrankungs- und Strukturdaten'!$C$15,VLOOKUP(Prognoseergebnis!G137-'Erkrankungs- und Strukturdaten'!$C$15,$A:$D,$D$6,FALSE)*'Erkrankungs- und Strukturdaten'!$C$9,0),0)</f>
        <v>756</v>
      </c>
      <c r="J137" s="6">
        <f>I137*'Erkrankungs- und Strukturdaten'!$C$10/'Erkrankungs- und Strukturdaten'!$C$9</f>
        <v>370.44</v>
      </c>
      <c r="K137" s="6">
        <f>I137*'Erkrankungs- und Strukturdaten'!$C$21</f>
        <v>15120</v>
      </c>
      <c r="L137" s="11"/>
      <c r="M137" s="82">
        <f>SUM($K$66:K137)</f>
        <v>743320</v>
      </c>
      <c r="N137" s="9"/>
      <c r="O137" s="6">
        <f>IF(AND(((H137/'Erkrankungs- und Strukturdaten'!$C$25)*'Erkrankungs- und Strukturdaten'!$E$27)+(H137/'Erkrankungs- und Strukturdaten'!$C$26)&lt;1,((H137/'Erkrankungs- und Strukturdaten'!$C$25)*'Erkrankungs- und Strukturdaten'!$E$27)+(H137/'Erkrankungs- und Strukturdaten'!$C$26)&gt;0),1,((H137/'Erkrankungs- und Strukturdaten'!$C$25)*'Erkrankungs- und Strukturdaten'!$E$27)+(H137/'Erkrankungs- und Strukturdaten'!$C$26))</f>
        <v>1880.2333333333331</v>
      </c>
      <c r="P137" s="6">
        <f>ROUNDUP(((I137/'Erkrankungs- und Strukturdaten'!$C$28)*'Erkrankungs- und Strukturdaten'!$E$30)+(I137/'Erkrankungs- und Strukturdaten'!$C$29),0)</f>
        <v>821</v>
      </c>
      <c r="Q137" s="6">
        <f>ROUNDUP((H137/'Erkrankungs- und Strukturdaten'!$C$34*'Erkrankungs- und Strukturdaten'!$E$36)+(H137/'Erkrankungs- und Strukturdaten'!$C$35),0)</f>
        <v>302</v>
      </c>
      <c r="R137" s="6">
        <f>ROUNDUP((I137*'Erkrankungs- und Strukturdaten'!$C$40/'Erkrankungs- und Strukturdaten'!$C$38*'Erkrankungs- und Strukturdaten'!$E$39)+(I137*(1-'Erkrankungs- und Strukturdaten'!$C$40)/'Erkrankungs- und Strukturdaten'!$C$37*'Erkrankungs- und Strukturdaten'!$E$39),0)</f>
        <v>104</v>
      </c>
      <c r="S137" s="52"/>
      <c r="U137" s="44">
        <f>((H137/'Erkrankungs- und Strukturdaten'!$C$25)*'Erkrankungs- und Strukturdaten'!$E$27*'Erkrankungs- und Strukturdaten'!$F$27)+(H137/'Erkrankungs- und Strukturdaten'!$C$26*'Erkrankungs- und Strukturdaten'!$G$27)</f>
        <v>15475.766666666666</v>
      </c>
      <c r="V137" s="44">
        <f>(I137/'Erkrankungs- und Strukturdaten'!$C$28*'Erkrankungs- und Strukturdaten'!$E$30*'Erkrankungs- und Strukturdaten'!$F$30)+(I137/'Erkrankungs- und Strukturdaten'!$C$29*'Erkrankungs- und Strukturdaten'!$G$30)</f>
        <v>6708.96</v>
      </c>
      <c r="AB137" s="2">
        <f t="shared" si="6"/>
        <v>44372</v>
      </c>
    </row>
    <row r="138" spans="1:28" ht="15" x14ac:dyDescent="0.2">
      <c r="A138" s="42">
        <v>129</v>
      </c>
      <c r="B138" s="370"/>
      <c r="C138" s="28">
        <f t="shared" si="5"/>
        <v>44373</v>
      </c>
      <c r="D138" s="5">
        <f>SUMIF('Fallzahlen (Berechnung)'!D:D,"&lt;="&amp;Prognoseergebnis!C138,'Fallzahlen (Berechnung)'!E:E)-'Fallzahlen (Berechnung)'!$E$1</f>
        <v>872006.87789703498</v>
      </c>
      <c r="E138" s="115">
        <f>VLOOKUP(C138,'Fallzahlen (Berechnung)'!$D:$E,'Fallzahlen (Berechnung)'!$E$1,FALSE)</f>
        <v>3597.9676099117869</v>
      </c>
      <c r="G138" s="18">
        <v>129</v>
      </c>
      <c r="H138" s="5">
        <f>ROUND('Erkrankungs- und Strukturdaten'!$C$8*D138-IF(G138&gt;'Erkrankungs- und Strukturdaten'!$C$14,VLOOKUP(Prognoseergebnis!G138-ROUNDDOWN('Erkrankungs- und Strukturdaten'!$C$14,0),$A:$D,$D$6,FALSE)*'Erkrankungs- und Strukturdaten'!$C$8,0)
+IF(G138&gt;'Erkrankungs- und Strukturdaten'!$C$15,VLOOKUP(Prognoseergebnis!G138-ROUNDDOWN('Erkrankungs- und Strukturdaten'!$C$15,0),A:D,$D$6,FALSE)*'Erkrankungs- und Strukturdaten'!$C$9,0)
-IF(G138&gt;'Erkrankungs- und Strukturdaten'!$C$15+'Erkrankungs- und Strukturdaten'!$C$16,VLOOKUP(Prognoseergebnis!G138-ROUNDDOWN('Erkrankungs- und Strukturdaten'!$C$15-'Erkrankungs- und Strukturdaten'!$C$16,0),A:D,$D$6,FALSE)*'Erkrankungs- und Strukturdaten'!$C$9,0),0)</f>
        <v>4368</v>
      </c>
      <c r="I138" s="5">
        <f>ROUND('Erkrankungs- und Strukturdaten'!$C$9*D138-IF(G138&gt;'Erkrankungs- und Strukturdaten'!$C$15,VLOOKUP(Prognoseergebnis!G138-'Erkrankungs- und Strukturdaten'!$C$15,$A:$D,$D$6,FALSE)*'Erkrankungs- und Strukturdaten'!$C$9,0),0)</f>
        <v>750</v>
      </c>
      <c r="J138" s="5">
        <f>I138*'Erkrankungs- und Strukturdaten'!$C$10/'Erkrankungs- und Strukturdaten'!$C$9</f>
        <v>367.5</v>
      </c>
      <c r="K138" s="5">
        <f>I138*'Erkrankungs- und Strukturdaten'!$C$21</f>
        <v>15000</v>
      </c>
      <c r="L138" s="11"/>
      <c r="M138" s="82">
        <f>SUM($K$66:K138)</f>
        <v>758320</v>
      </c>
      <c r="N138" s="9"/>
      <c r="O138" s="5">
        <f>IF(AND(((H138/'Erkrankungs- und Strukturdaten'!$C$25)*'Erkrankungs- und Strukturdaten'!$E$27)+(H138/'Erkrankungs- und Strukturdaten'!$C$26)&lt;1,((H138/'Erkrankungs- und Strukturdaten'!$C$25)*'Erkrankungs- und Strukturdaten'!$E$27)+(H138/'Erkrankungs- und Strukturdaten'!$C$26)&gt;0),1,((H138/'Erkrankungs- und Strukturdaten'!$C$25)*'Erkrankungs- und Strukturdaten'!$E$27)+(H138/'Erkrankungs- und Strukturdaten'!$C$26))</f>
        <v>1892.8</v>
      </c>
      <c r="P138" s="5">
        <f>ROUNDUP(((I138/'Erkrankungs- und Strukturdaten'!$C$28)*'Erkrankungs- und Strukturdaten'!$E$30)+(I138/'Erkrankungs- und Strukturdaten'!$C$29),0)</f>
        <v>815</v>
      </c>
      <c r="Q138" s="5">
        <f>ROUNDUP((H138/'Erkrankungs- und Strukturdaten'!$C$34*'Erkrankungs- und Strukturdaten'!$E$36)+(H138/'Erkrankungs- und Strukturdaten'!$C$35),0)</f>
        <v>304</v>
      </c>
      <c r="R138" s="5">
        <f>ROUNDUP((I138*'Erkrankungs- und Strukturdaten'!$C$40/'Erkrankungs- und Strukturdaten'!$C$38*'Erkrankungs- und Strukturdaten'!$E$39)+(I138*(1-'Erkrankungs- und Strukturdaten'!$C$40)/'Erkrankungs- und Strukturdaten'!$C$37*'Erkrankungs- und Strukturdaten'!$E$39),0)</f>
        <v>103</v>
      </c>
      <c r="S138" s="52"/>
      <c r="U138" s="44">
        <f>((H138/'Erkrankungs- und Strukturdaten'!$C$25)*'Erkrankungs- und Strukturdaten'!$E$27*'Erkrankungs- und Strukturdaten'!$F$27)+(H138/'Erkrankungs- und Strukturdaten'!$C$26*'Erkrankungs- und Strukturdaten'!$G$27)</f>
        <v>15579.2</v>
      </c>
      <c r="V138" s="44">
        <f>(I138/'Erkrankungs- und Strukturdaten'!$C$28*'Erkrankungs- und Strukturdaten'!$E$30*'Erkrankungs- und Strukturdaten'!$F$30)+(I138/'Erkrankungs- und Strukturdaten'!$C$29*'Erkrankungs- und Strukturdaten'!$G$30)</f>
        <v>6655.7142857142853</v>
      </c>
      <c r="AB138" s="2">
        <f t="shared" si="6"/>
        <v>44373</v>
      </c>
    </row>
    <row r="139" spans="1:28" ht="15" x14ac:dyDescent="0.2">
      <c r="A139" s="42">
        <v>130</v>
      </c>
      <c r="B139" s="370"/>
      <c r="C139" s="27">
        <f t="shared" si="5"/>
        <v>44374</v>
      </c>
      <c r="D139" s="6">
        <f>SUMIF('Fallzahlen (Berechnung)'!D:D,"&lt;="&amp;Prognoseergebnis!C139,'Fallzahlen (Berechnung)'!E:E)-'Fallzahlen (Berechnung)'!$E$1</f>
        <v>874732.50224963378</v>
      </c>
      <c r="E139" s="114">
        <f>VLOOKUP(C139,'Fallzahlen (Berechnung)'!$D:$E,'Fallzahlen (Berechnung)'!$E$1,FALSE)</f>
        <v>2725.6243525987661</v>
      </c>
      <c r="G139" s="18">
        <v>130</v>
      </c>
      <c r="H139" s="6">
        <f>ROUND('Erkrankungs- und Strukturdaten'!$C$8*D139-IF(G139&gt;'Erkrankungs- und Strukturdaten'!$C$14,VLOOKUP(Prognoseergebnis!G139-ROUNDDOWN('Erkrankungs- und Strukturdaten'!$C$14,0),$A:$D,$D$6,FALSE)*'Erkrankungs- und Strukturdaten'!$C$8,0)
+IF(G139&gt;'Erkrankungs- und Strukturdaten'!$C$15,VLOOKUP(Prognoseergebnis!G139-ROUNDDOWN('Erkrankungs- und Strukturdaten'!$C$15,0),A:D,$D$6,FALSE)*'Erkrankungs- und Strukturdaten'!$C$9,0)
-IF(G139&gt;'Erkrankungs- und Strukturdaten'!$C$15+'Erkrankungs- und Strukturdaten'!$C$16,VLOOKUP(Prognoseergebnis!G139-ROUNDDOWN('Erkrankungs- und Strukturdaten'!$C$15-'Erkrankungs- und Strukturdaten'!$C$16,0),A:D,$D$6,FALSE)*'Erkrankungs- und Strukturdaten'!$C$9,0),0)</f>
        <v>4383</v>
      </c>
      <c r="I139" s="6">
        <f>ROUND('Erkrankungs- und Strukturdaten'!$C$9*D139-IF(G139&gt;'Erkrankungs- und Strukturdaten'!$C$15,VLOOKUP(Prognoseergebnis!G139-'Erkrankungs- und Strukturdaten'!$C$15,$A:$D,$D$6,FALSE)*'Erkrankungs- und Strukturdaten'!$C$9,0),0)</f>
        <v>747</v>
      </c>
      <c r="J139" s="6">
        <f>I139*'Erkrankungs- und Strukturdaten'!$C$10/'Erkrankungs- und Strukturdaten'!$C$9</f>
        <v>366.03</v>
      </c>
      <c r="K139" s="6">
        <f>I139*'Erkrankungs- und Strukturdaten'!$C$21</f>
        <v>14940</v>
      </c>
      <c r="L139" s="11"/>
      <c r="M139" s="82">
        <f>SUM($K$66:K139)</f>
        <v>773260</v>
      </c>
      <c r="N139" s="9"/>
      <c r="O139" s="6">
        <f>IF(AND(((H139/'Erkrankungs- und Strukturdaten'!$C$25)*'Erkrankungs- und Strukturdaten'!$E$27)+(H139/'Erkrankungs- und Strukturdaten'!$C$26)&lt;1,((H139/'Erkrankungs- und Strukturdaten'!$C$25)*'Erkrankungs- und Strukturdaten'!$E$27)+(H139/'Erkrankungs- und Strukturdaten'!$C$26)&gt;0),1,((H139/'Erkrankungs- und Strukturdaten'!$C$25)*'Erkrankungs- und Strukturdaten'!$E$27)+(H139/'Erkrankungs- und Strukturdaten'!$C$26))</f>
        <v>1899.3</v>
      </c>
      <c r="P139" s="6">
        <f>ROUNDUP(((I139/'Erkrankungs- und Strukturdaten'!$C$28)*'Erkrankungs- und Strukturdaten'!$E$30)+(I139/'Erkrankungs- und Strukturdaten'!$C$29),0)</f>
        <v>812</v>
      </c>
      <c r="Q139" s="6">
        <f>ROUNDUP((H139/'Erkrankungs- und Strukturdaten'!$C$34*'Erkrankungs- und Strukturdaten'!$E$36)+(H139/'Erkrankungs- und Strukturdaten'!$C$35),0)</f>
        <v>305</v>
      </c>
      <c r="R139" s="6">
        <f>ROUNDUP((I139*'Erkrankungs- und Strukturdaten'!$C$40/'Erkrankungs- und Strukturdaten'!$C$38*'Erkrankungs- und Strukturdaten'!$E$39)+(I139*(1-'Erkrankungs- und Strukturdaten'!$C$40)/'Erkrankungs- und Strukturdaten'!$C$37*'Erkrankungs- und Strukturdaten'!$E$39),0)</f>
        <v>103</v>
      </c>
      <c r="S139" s="52"/>
      <c r="U139" s="44">
        <f>((H139/'Erkrankungs- und Strukturdaten'!$C$25)*'Erkrankungs- und Strukturdaten'!$E$27*'Erkrankungs- und Strukturdaten'!$F$27)+(H139/'Erkrankungs- und Strukturdaten'!$C$26*'Erkrankungs- und Strukturdaten'!$G$27)</f>
        <v>15632.7</v>
      </c>
      <c r="V139" s="44">
        <f>(I139/'Erkrankungs- und Strukturdaten'!$C$28*'Erkrankungs- und Strukturdaten'!$E$30*'Erkrankungs- und Strukturdaten'!$F$30)+(I139/'Erkrankungs- und Strukturdaten'!$C$29*'Erkrankungs- und Strukturdaten'!$G$30)</f>
        <v>6629.0914285714289</v>
      </c>
      <c r="AB139" s="2">
        <f t="shared" si="6"/>
        <v>44374</v>
      </c>
    </row>
    <row r="140" spans="1:28" ht="15" x14ac:dyDescent="0.2">
      <c r="A140" s="42">
        <v>131</v>
      </c>
      <c r="B140" s="370"/>
      <c r="C140" s="28">
        <f t="shared" si="5"/>
        <v>44375</v>
      </c>
      <c r="D140" s="5">
        <f>SUMIF('Fallzahlen (Berechnung)'!D:D,"&lt;="&amp;Prognoseergebnis!C140,'Fallzahlen (Berechnung)'!E:E)-'Fallzahlen (Berechnung)'!$E$1</f>
        <v>880843.45695009769</v>
      </c>
      <c r="E140" s="115">
        <f>VLOOKUP(C140,'Fallzahlen (Berechnung)'!$D:$E,'Fallzahlen (Berechnung)'!$E$1,FALSE)</f>
        <v>6110.9547004638634</v>
      </c>
      <c r="G140" s="18">
        <v>131</v>
      </c>
      <c r="H140" s="5">
        <f>ROUND('Erkrankungs- und Strukturdaten'!$C$8*D140-IF(G140&gt;'Erkrankungs- und Strukturdaten'!$C$14,VLOOKUP(Prognoseergebnis!G140-ROUNDDOWN('Erkrankungs- und Strukturdaten'!$C$14,0),$A:$D,$D$6,FALSE)*'Erkrankungs- und Strukturdaten'!$C$8,0)
+IF(G140&gt;'Erkrankungs- und Strukturdaten'!$C$15,VLOOKUP(Prognoseergebnis!G140-ROUNDDOWN('Erkrankungs- und Strukturdaten'!$C$15,0),A:D,$D$6,FALSE)*'Erkrankungs- und Strukturdaten'!$C$9,0)
-IF(G140&gt;'Erkrankungs- und Strukturdaten'!$C$15+'Erkrankungs- und Strukturdaten'!$C$16,VLOOKUP(Prognoseergebnis!G140-ROUNDDOWN('Erkrankungs- und Strukturdaten'!$C$15-'Erkrankungs- und Strukturdaten'!$C$16,0),A:D,$D$6,FALSE)*'Erkrankungs- und Strukturdaten'!$C$9,0),0)</f>
        <v>4439</v>
      </c>
      <c r="I140" s="5">
        <f>ROUND('Erkrankungs- und Strukturdaten'!$C$9*D140-IF(G140&gt;'Erkrankungs- und Strukturdaten'!$C$15,VLOOKUP(Prognoseergebnis!G140-'Erkrankungs- und Strukturdaten'!$C$15,$A:$D,$D$6,FALSE)*'Erkrankungs- und Strukturdaten'!$C$9,0),0)</f>
        <v>789</v>
      </c>
      <c r="J140" s="5">
        <f>I140*'Erkrankungs- und Strukturdaten'!$C$10/'Erkrankungs- und Strukturdaten'!$C$9</f>
        <v>386.60999999999996</v>
      </c>
      <c r="K140" s="5">
        <f>I140*'Erkrankungs- und Strukturdaten'!$C$21</f>
        <v>15780</v>
      </c>
      <c r="L140" s="11"/>
      <c r="M140" s="82">
        <f>SUM($K$66:K140)</f>
        <v>789040</v>
      </c>
      <c r="N140" s="9"/>
      <c r="O140" s="5">
        <f>IF(AND(((H140/'Erkrankungs- und Strukturdaten'!$C$25)*'Erkrankungs- und Strukturdaten'!$E$27)+(H140/'Erkrankungs- und Strukturdaten'!$C$26)&lt;1,((H140/'Erkrankungs- und Strukturdaten'!$C$25)*'Erkrankungs- und Strukturdaten'!$E$27)+(H140/'Erkrankungs- und Strukturdaten'!$C$26)&gt;0),1,((H140/'Erkrankungs- und Strukturdaten'!$C$25)*'Erkrankungs- und Strukturdaten'!$E$27)+(H140/'Erkrankungs- und Strukturdaten'!$C$26))</f>
        <v>1923.5666666666666</v>
      </c>
      <c r="P140" s="5">
        <f>ROUNDUP(((I140/'Erkrankungs- und Strukturdaten'!$C$28)*'Erkrankungs- und Strukturdaten'!$E$30)+(I140/'Erkrankungs- und Strukturdaten'!$C$29),0)</f>
        <v>857</v>
      </c>
      <c r="Q140" s="5">
        <f>ROUNDUP((H140/'Erkrankungs- und Strukturdaten'!$C$34*'Erkrankungs- und Strukturdaten'!$E$36)+(H140/'Erkrankungs- und Strukturdaten'!$C$35),0)</f>
        <v>309</v>
      </c>
      <c r="R140" s="5">
        <f>ROUNDUP((I140*'Erkrankungs- und Strukturdaten'!$C$40/'Erkrankungs- und Strukturdaten'!$C$38*'Erkrankungs- und Strukturdaten'!$E$39)+(I140*(1-'Erkrankungs- und Strukturdaten'!$C$40)/'Erkrankungs- und Strukturdaten'!$C$37*'Erkrankungs- und Strukturdaten'!$E$39),0)</f>
        <v>108</v>
      </c>
      <c r="S140" s="52"/>
      <c r="U140" s="44">
        <f>((H140/'Erkrankungs- und Strukturdaten'!$C$25)*'Erkrankungs- und Strukturdaten'!$E$27*'Erkrankungs- und Strukturdaten'!$F$27)+(H140/'Erkrankungs- und Strukturdaten'!$C$26*'Erkrankungs- und Strukturdaten'!$G$27)</f>
        <v>15832.433333333334</v>
      </c>
      <c r="V140" s="44">
        <f>(I140/'Erkrankungs- und Strukturdaten'!$C$28*'Erkrankungs- und Strukturdaten'!$E$30*'Erkrankungs- und Strukturdaten'!$F$30)+(I140/'Erkrankungs- und Strukturdaten'!$C$29*'Erkrankungs- und Strukturdaten'!$G$30)</f>
        <v>7001.8114285714291</v>
      </c>
      <c r="AB140" s="2">
        <f t="shared" si="6"/>
        <v>44375</v>
      </c>
    </row>
    <row r="141" spans="1:28" ht="15" x14ac:dyDescent="0.2">
      <c r="A141" s="42">
        <v>132</v>
      </c>
      <c r="B141" s="370"/>
      <c r="C141" s="27">
        <f t="shared" si="5"/>
        <v>44376</v>
      </c>
      <c r="D141" s="6">
        <f>SUMIF('Fallzahlen (Berechnung)'!D:D,"&lt;="&amp;Prognoseergebnis!C141,'Fallzahlen (Berechnung)'!E:E)-'Fallzahlen (Berechnung)'!$E$1</f>
        <v>887225.76477718446</v>
      </c>
      <c r="E141" s="114">
        <f>VLOOKUP(C141,'Fallzahlen (Berechnung)'!$D:$E,'Fallzahlen (Berechnung)'!$E$1,FALSE)</f>
        <v>6382.3078270867991</v>
      </c>
      <c r="G141" s="18">
        <v>132</v>
      </c>
      <c r="H141" s="6">
        <f>ROUND('Erkrankungs- und Strukturdaten'!$C$8*D141-IF(G141&gt;'Erkrankungs- und Strukturdaten'!$C$14,VLOOKUP(Prognoseergebnis!G141-ROUNDDOWN('Erkrankungs- und Strukturdaten'!$C$14,0),$A:$D,$D$6,FALSE)*'Erkrankungs- und Strukturdaten'!$C$8,0)
+IF(G141&gt;'Erkrankungs- und Strukturdaten'!$C$15,VLOOKUP(Prognoseergebnis!G141-ROUNDDOWN('Erkrankungs- und Strukturdaten'!$C$15,0),A:D,$D$6,FALSE)*'Erkrankungs- und Strukturdaten'!$C$9,0)
-IF(G141&gt;'Erkrankungs- und Strukturdaten'!$C$15+'Erkrankungs- und Strukturdaten'!$C$16,VLOOKUP(Prognoseergebnis!G141-ROUNDDOWN('Erkrankungs- und Strukturdaten'!$C$15-'Erkrankungs- und Strukturdaten'!$C$16,0),A:D,$D$6,FALSE)*'Erkrankungs- und Strukturdaten'!$C$9,0),0)</f>
        <v>4539</v>
      </c>
      <c r="I141" s="6">
        <f>ROUND('Erkrankungs- und Strukturdaten'!$C$9*D141-IF(G141&gt;'Erkrankungs- und Strukturdaten'!$C$15,VLOOKUP(Prognoseergebnis!G141-'Erkrankungs- und Strukturdaten'!$C$15,$A:$D,$D$6,FALSE)*'Erkrankungs- und Strukturdaten'!$C$9,0),0)</f>
        <v>803</v>
      </c>
      <c r="J141" s="6">
        <f>I141*'Erkrankungs- und Strukturdaten'!$C$10/'Erkrankungs- und Strukturdaten'!$C$9</f>
        <v>393.46999999999997</v>
      </c>
      <c r="K141" s="6">
        <f>I141*'Erkrankungs- und Strukturdaten'!$C$21</f>
        <v>16060</v>
      </c>
      <c r="L141" s="11"/>
      <c r="M141" s="82">
        <f>SUM($K$66:K141)</f>
        <v>805100</v>
      </c>
      <c r="N141" s="9"/>
      <c r="O141" s="6">
        <f>IF(AND(((H141/'Erkrankungs- und Strukturdaten'!$C$25)*'Erkrankungs- und Strukturdaten'!$E$27)+(H141/'Erkrankungs- und Strukturdaten'!$C$26)&lt;1,((H141/'Erkrankungs- und Strukturdaten'!$C$25)*'Erkrankungs- und Strukturdaten'!$E$27)+(H141/'Erkrankungs- und Strukturdaten'!$C$26)&gt;0),1,((H141/'Erkrankungs- und Strukturdaten'!$C$25)*'Erkrankungs- und Strukturdaten'!$E$27)+(H141/'Erkrankungs- und Strukturdaten'!$C$26))</f>
        <v>1966.9</v>
      </c>
      <c r="P141" s="6">
        <f>ROUNDUP(((I141/'Erkrankungs- und Strukturdaten'!$C$28)*'Erkrankungs- und Strukturdaten'!$E$30)+(I141/'Erkrankungs- und Strukturdaten'!$C$29),0)</f>
        <v>872</v>
      </c>
      <c r="Q141" s="6">
        <f>ROUNDUP((H141/'Erkrankungs- und Strukturdaten'!$C$34*'Erkrankungs- und Strukturdaten'!$E$36)+(H141/'Erkrankungs- und Strukturdaten'!$C$35),0)</f>
        <v>316</v>
      </c>
      <c r="R141" s="6">
        <f>ROUNDUP((I141*'Erkrankungs- und Strukturdaten'!$C$40/'Erkrankungs- und Strukturdaten'!$C$38*'Erkrankungs- und Strukturdaten'!$E$39)+(I141*(1-'Erkrankungs- und Strukturdaten'!$C$40)/'Erkrankungs- und Strukturdaten'!$C$37*'Erkrankungs- und Strukturdaten'!$E$39),0)</f>
        <v>110</v>
      </c>
      <c r="S141" s="52"/>
      <c r="U141" s="44">
        <f>((H141/'Erkrankungs- und Strukturdaten'!$C$25)*'Erkrankungs- und Strukturdaten'!$E$27*'Erkrankungs- und Strukturdaten'!$F$27)+(H141/'Erkrankungs- und Strukturdaten'!$C$26*'Erkrankungs- und Strukturdaten'!$G$27)</f>
        <v>16189.1</v>
      </c>
      <c r="V141" s="44">
        <f>(I141/'Erkrankungs- und Strukturdaten'!$C$28*'Erkrankungs- und Strukturdaten'!$E$30*'Erkrankungs- und Strukturdaten'!$F$30)+(I141/'Erkrankungs- und Strukturdaten'!$C$29*'Erkrankungs- und Strukturdaten'!$G$30)</f>
        <v>7126.051428571428</v>
      </c>
      <c r="AB141" s="2">
        <f t="shared" si="6"/>
        <v>44376</v>
      </c>
    </row>
    <row r="142" spans="1:28" ht="15" x14ac:dyDescent="0.2">
      <c r="A142" s="42">
        <v>133</v>
      </c>
      <c r="B142" s="370"/>
      <c r="C142" s="29">
        <f t="shared" si="5"/>
        <v>44377</v>
      </c>
      <c r="D142" s="30">
        <f>SUMIF('Fallzahlen (Berechnung)'!D:D,"&lt;="&amp;Prognoseergebnis!C142,'Fallzahlen (Berechnung)'!E:E)-'Fallzahlen (Berechnung)'!$E$1</f>
        <v>893097.39552723384</v>
      </c>
      <c r="E142" s="117">
        <f>VLOOKUP(C142,'Fallzahlen (Berechnung)'!$D:$E,'Fallzahlen (Berechnung)'!$E$1,FALSE)</f>
        <v>5871.630750049344</v>
      </c>
      <c r="G142" s="18">
        <v>133</v>
      </c>
      <c r="H142" s="30">
        <f>ROUND('Erkrankungs- und Strukturdaten'!$C$8*D142-IF(G142&gt;'Erkrankungs- und Strukturdaten'!$C$14,VLOOKUP(Prognoseergebnis!G142-ROUNDDOWN('Erkrankungs- und Strukturdaten'!$C$14,0),$A:$D,$D$6,FALSE)*'Erkrankungs- und Strukturdaten'!$C$8,0)
+IF(G142&gt;'Erkrankungs- und Strukturdaten'!$C$15,VLOOKUP(Prognoseergebnis!G142-ROUNDDOWN('Erkrankungs- und Strukturdaten'!$C$15,0),A:D,$D$6,FALSE)*'Erkrankungs- und Strukturdaten'!$C$9,0)
-IF(G142&gt;'Erkrankungs- und Strukturdaten'!$C$15+'Erkrankungs- und Strukturdaten'!$C$16,VLOOKUP(Prognoseergebnis!G142-ROUNDDOWN('Erkrankungs- und Strukturdaten'!$C$15-'Erkrankungs- und Strukturdaten'!$C$16,0),A:D,$D$6,FALSE)*'Erkrankungs- und Strukturdaten'!$C$9,0),0)</f>
        <v>4601</v>
      </c>
      <c r="I142" s="30">
        <f>ROUND('Erkrankungs- und Strukturdaten'!$C$9*D142-IF(G142&gt;'Erkrankungs- und Strukturdaten'!$C$15,VLOOKUP(Prognoseergebnis!G142-'Erkrankungs- und Strukturdaten'!$C$15,$A:$D,$D$6,FALSE)*'Erkrankungs- und Strukturdaten'!$C$9,0),0)</f>
        <v>808</v>
      </c>
      <c r="J142" s="30">
        <f>I142*'Erkrankungs- und Strukturdaten'!$C$10/'Erkrankungs- und Strukturdaten'!$C$9</f>
        <v>395.92</v>
      </c>
      <c r="K142" s="30">
        <f>I142*'Erkrankungs- und Strukturdaten'!$C$21</f>
        <v>16160</v>
      </c>
      <c r="L142" s="11"/>
      <c r="M142" s="82">
        <f>SUM($K$66:K142)</f>
        <v>821260</v>
      </c>
      <c r="N142" s="9"/>
      <c r="O142" s="30">
        <f>IF(AND(((H142/'Erkrankungs- und Strukturdaten'!$C$25)*'Erkrankungs- und Strukturdaten'!$E$27)+(H142/'Erkrankungs- und Strukturdaten'!$C$26)&lt;1,((H142/'Erkrankungs- und Strukturdaten'!$C$25)*'Erkrankungs- und Strukturdaten'!$E$27)+(H142/'Erkrankungs- und Strukturdaten'!$C$26)&gt;0),1,((H142/'Erkrankungs- und Strukturdaten'!$C$25)*'Erkrankungs- und Strukturdaten'!$E$27)+(H142/'Erkrankungs- und Strukturdaten'!$C$26))</f>
        <v>1993.7666666666669</v>
      </c>
      <c r="P142" s="30">
        <f>ROUNDUP(((I142/'Erkrankungs- und Strukturdaten'!$C$28)*'Erkrankungs- und Strukturdaten'!$E$30)+(I142/'Erkrankungs- und Strukturdaten'!$C$29),0)</f>
        <v>878</v>
      </c>
      <c r="Q142" s="30">
        <f>ROUNDUP((H142/'Erkrankungs- und Strukturdaten'!$C$34*'Erkrankungs- und Strukturdaten'!$E$36)+(H142/'Erkrankungs- und Strukturdaten'!$C$35),0)</f>
        <v>320</v>
      </c>
      <c r="R142" s="30">
        <f>ROUNDUP((I142*'Erkrankungs- und Strukturdaten'!$C$40/'Erkrankungs- und Strukturdaten'!$C$38*'Erkrankungs- und Strukturdaten'!$E$39)+(I142*(1-'Erkrankungs- und Strukturdaten'!$C$40)/'Erkrankungs- und Strukturdaten'!$C$37*'Erkrankungs- und Strukturdaten'!$E$39),0)</f>
        <v>111</v>
      </c>
      <c r="S142" s="52"/>
      <c r="U142" s="44">
        <f>((H142/'Erkrankungs- und Strukturdaten'!$C$25)*'Erkrankungs- und Strukturdaten'!$E$27*'Erkrankungs- und Strukturdaten'!$F$27)+(H142/'Erkrankungs- und Strukturdaten'!$C$26*'Erkrankungs- und Strukturdaten'!$G$27)</f>
        <v>16410.233333333334</v>
      </c>
      <c r="V142" s="44">
        <f>(I142/'Erkrankungs- und Strukturdaten'!$C$28*'Erkrankungs- und Strukturdaten'!$E$30*'Erkrankungs- und Strukturdaten'!$F$30)+(I142/'Erkrankungs- und Strukturdaten'!$C$29*'Erkrankungs- und Strukturdaten'!$G$30)</f>
        <v>7170.4228571428575</v>
      </c>
      <c r="AB142" s="2">
        <f t="shared" si="6"/>
        <v>44377</v>
      </c>
    </row>
    <row r="143" spans="1:28" ht="15" x14ac:dyDescent="0.2">
      <c r="A143" s="42">
        <v>134</v>
      </c>
      <c r="B143" s="371" t="s">
        <v>203</v>
      </c>
      <c r="C143" s="76">
        <f t="shared" si="5"/>
        <v>44378</v>
      </c>
      <c r="D143" s="77">
        <f>SUMIF('Fallzahlen (Berechnung)'!D:D,"&lt;="&amp;Prognoseergebnis!C143,'Fallzahlen (Berechnung)'!E:E)-'Fallzahlen (Berechnung)'!$E$1</f>
        <v>893097.39552723384</v>
      </c>
      <c r="E143" s="118" t="e">
        <f>VLOOKUP(C143,'Fallzahlen (Berechnung)'!$D:$E,'Fallzahlen (Berechnung)'!$E$1,FALSE)</f>
        <v>#N/A</v>
      </c>
      <c r="G143" s="18">
        <v>134</v>
      </c>
      <c r="H143" s="77">
        <f>ROUND('Erkrankungs- und Strukturdaten'!$C$8*D143-IF(G143&gt;'Erkrankungs- und Strukturdaten'!$C$14,VLOOKUP(Prognoseergebnis!G143-ROUNDDOWN('Erkrankungs- und Strukturdaten'!$C$14,0),$A:$D,$D$6,FALSE)*'Erkrankungs- und Strukturdaten'!$C$8,0)
+IF(G143&gt;'Erkrankungs- und Strukturdaten'!$C$15,VLOOKUP(Prognoseergebnis!G143-ROUNDDOWN('Erkrankungs- und Strukturdaten'!$C$15,0),A:D,$D$6,FALSE)*'Erkrankungs- und Strukturdaten'!$C$9,0)
-IF(G143&gt;'Erkrankungs- und Strukturdaten'!$C$15+'Erkrankungs- und Strukturdaten'!$C$16,VLOOKUP(Prognoseergebnis!G143-ROUNDDOWN('Erkrankungs- und Strukturdaten'!$C$15-'Erkrankungs- und Strukturdaten'!$C$16,0),A:D,$D$6,FALSE)*'Erkrankungs- und Strukturdaten'!$C$9,0),0)</f>
        <v>3827</v>
      </c>
      <c r="I143" s="77">
        <f>ROUND('Erkrankungs- und Strukturdaten'!$C$9*D143-IF(G143&gt;'Erkrankungs- und Strukturdaten'!$C$15,VLOOKUP(Prognoseergebnis!G143-'Erkrankungs- und Strukturdaten'!$C$15,$A:$D,$D$6,FALSE)*'Erkrankungs- und Strukturdaten'!$C$9,0),0)</f>
        <v>752</v>
      </c>
      <c r="J143" s="77">
        <f>I143*'Erkrankungs- und Strukturdaten'!$C$10/'Erkrankungs- und Strukturdaten'!$C$9</f>
        <v>368.48</v>
      </c>
      <c r="K143" s="77">
        <f>I143*'Erkrankungs- und Strukturdaten'!$C$21</f>
        <v>15040</v>
      </c>
      <c r="L143" s="11"/>
      <c r="M143" s="82">
        <f>SUM($K$66:K143)</f>
        <v>836300</v>
      </c>
      <c r="N143" s="9"/>
      <c r="O143" s="77">
        <f>IF(AND(((H143/'Erkrankungs- und Strukturdaten'!$C$25)*'Erkrankungs- und Strukturdaten'!$E$27)+(H143/'Erkrankungs- und Strukturdaten'!$C$26)&lt;1,((H143/'Erkrankungs- und Strukturdaten'!$C$25)*'Erkrankungs- und Strukturdaten'!$E$27)+(H143/'Erkrankungs- und Strukturdaten'!$C$26)&gt;0),1,((H143/'Erkrankungs- und Strukturdaten'!$C$25)*'Erkrankungs- und Strukturdaten'!$E$27)+(H143/'Erkrankungs- und Strukturdaten'!$C$26))</f>
        <v>1658.3666666666668</v>
      </c>
      <c r="P143" s="77">
        <f>ROUNDUP(((I143/'Erkrankungs- und Strukturdaten'!$C$28)*'Erkrankungs- und Strukturdaten'!$E$30)+(I143/'Erkrankungs- und Strukturdaten'!$C$29),0)</f>
        <v>817</v>
      </c>
      <c r="Q143" s="77">
        <f>ROUNDUP((H143/'Erkrankungs- und Strukturdaten'!$C$34*'Erkrankungs- und Strukturdaten'!$E$36)+(H143/'Erkrankungs- und Strukturdaten'!$C$35),0)</f>
        <v>266</v>
      </c>
      <c r="R143" s="77">
        <f>ROUNDUP((I143*'Erkrankungs- und Strukturdaten'!$C$40/'Erkrankungs- und Strukturdaten'!$C$38*'Erkrankungs- und Strukturdaten'!$E$39)+(I143*(1-'Erkrankungs- und Strukturdaten'!$C$40)/'Erkrankungs- und Strukturdaten'!$C$37*'Erkrankungs- und Strukturdaten'!$E$39),0)</f>
        <v>103</v>
      </c>
      <c r="S143" s="52"/>
      <c r="U143" s="44">
        <f>((H143/'Erkrankungs- und Strukturdaten'!$C$25)*'Erkrankungs- und Strukturdaten'!$E$27*'Erkrankungs- und Strukturdaten'!$F$27)+(H143/'Erkrankungs- und Strukturdaten'!$C$26*'Erkrankungs- und Strukturdaten'!$G$27)</f>
        <v>13649.633333333335</v>
      </c>
      <c r="V143" s="44">
        <f>(I143/'Erkrankungs- und Strukturdaten'!$C$28*'Erkrankungs- und Strukturdaten'!$E$30*'Erkrankungs- und Strukturdaten'!$F$30)+(I143/'Erkrankungs- und Strukturdaten'!$C$29*'Erkrankungs- und Strukturdaten'!$G$30)</f>
        <v>6673.4628571428575</v>
      </c>
      <c r="AB143" s="2">
        <f t="shared" si="6"/>
        <v>44378</v>
      </c>
    </row>
    <row r="144" spans="1:28" ht="15" x14ac:dyDescent="0.2">
      <c r="A144" s="42">
        <v>135</v>
      </c>
      <c r="B144" s="371"/>
      <c r="C144" s="28">
        <f t="shared" si="5"/>
        <v>44379</v>
      </c>
      <c r="D144" s="5">
        <f>SUMIF('Fallzahlen (Berechnung)'!D:D,"&lt;="&amp;Prognoseergebnis!C144,'Fallzahlen (Berechnung)'!E:E)-'Fallzahlen (Berechnung)'!$E$1</f>
        <v>893097.39552723384</v>
      </c>
      <c r="E144" s="115" t="e">
        <f>VLOOKUP(C144,'Fallzahlen (Berechnung)'!$D:$E,'Fallzahlen (Berechnung)'!$E$1,FALSE)</f>
        <v>#N/A</v>
      </c>
      <c r="G144" s="18">
        <v>135</v>
      </c>
      <c r="H144" s="5">
        <f>ROUND('Erkrankungs- und Strukturdaten'!$C$8*D144-IF(G144&gt;'Erkrankungs- und Strukturdaten'!$C$14,VLOOKUP(Prognoseergebnis!G144-ROUNDDOWN('Erkrankungs- und Strukturdaten'!$C$14,0),$A:$D,$D$6,FALSE)*'Erkrankungs- und Strukturdaten'!$C$8,0)
+IF(G144&gt;'Erkrankungs- und Strukturdaten'!$C$15,VLOOKUP(Prognoseergebnis!G144-ROUNDDOWN('Erkrankungs- und Strukturdaten'!$C$15,0),A:D,$D$6,FALSE)*'Erkrankungs- und Strukturdaten'!$C$9,0)
-IF(G144&gt;'Erkrankungs- und Strukturdaten'!$C$15+'Erkrankungs- und Strukturdaten'!$C$16,VLOOKUP(Prognoseergebnis!G144-ROUNDDOWN('Erkrankungs- und Strukturdaten'!$C$15-'Erkrankungs- und Strukturdaten'!$C$16,0),A:D,$D$6,FALSE)*'Erkrankungs- und Strukturdaten'!$C$9,0),0)</f>
        <v>3152</v>
      </c>
      <c r="I144" s="5">
        <f>ROUND('Erkrankungs- und Strukturdaten'!$C$9*D144-IF(G144&gt;'Erkrankungs- und Strukturdaten'!$C$15,VLOOKUP(Prognoseergebnis!G144-'Erkrankungs- und Strukturdaten'!$C$15,$A:$D,$D$6,FALSE)*'Erkrankungs- und Strukturdaten'!$C$9,0),0)</f>
        <v>695</v>
      </c>
      <c r="J144" s="5">
        <f>I144*'Erkrankungs- und Strukturdaten'!$C$10/'Erkrankungs- und Strukturdaten'!$C$9</f>
        <v>340.55</v>
      </c>
      <c r="K144" s="5">
        <f>I144*'Erkrankungs- und Strukturdaten'!$C$21</f>
        <v>13900</v>
      </c>
      <c r="L144" s="11"/>
      <c r="M144" s="82">
        <f>SUM($K$66:K144)</f>
        <v>850200</v>
      </c>
      <c r="N144" s="9"/>
      <c r="O144" s="5">
        <f>IF(AND(((H144/'Erkrankungs- und Strukturdaten'!$C$25)*'Erkrankungs- und Strukturdaten'!$E$27)+(H144/'Erkrankungs- und Strukturdaten'!$C$26)&lt;1,((H144/'Erkrankungs- und Strukturdaten'!$C$25)*'Erkrankungs- und Strukturdaten'!$E$27)+(H144/'Erkrankungs- und Strukturdaten'!$C$26)&gt;0),1,((H144/'Erkrankungs- und Strukturdaten'!$C$25)*'Erkrankungs- und Strukturdaten'!$E$27)+(H144/'Erkrankungs- und Strukturdaten'!$C$26))</f>
        <v>1365.8666666666668</v>
      </c>
      <c r="P144" s="5">
        <f>ROUNDUP(((I144/'Erkrankungs- und Strukturdaten'!$C$28)*'Erkrankungs- und Strukturdaten'!$E$30)+(I144/'Erkrankungs- und Strukturdaten'!$C$29),0)</f>
        <v>755</v>
      </c>
      <c r="Q144" s="5">
        <f>ROUNDUP((H144/'Erkrankungs- und Strukturdaten'!$C$34*'Erkrankungs- und Strukturdaten'!$E$36)+(H144/'Erkrankungs- und Strukturdaten'!$C$35),0)</f>
        <v>219</v>
      </c>
      <c r="R144" s="5">
        <f>ROUNDUP((I144*'Erkrankungs- und Strukturdaten'!$C$40/'Erkrankungs- und Strukturdaten'!$C$38*'Erkrankungs- und Strukturdaten'!$E$39)+(I144*(1-'Erkrankungs- und Strukturdaten'!$C$40)/'Erkrankungs- und Strukturdaten'!$C$37*'Erkrankungs- und Strukturdaten'!$E$39),0)</f>
        <v>95</v>
      </c>
      <c r="S144" s="52"/>
      <c r="U144" s="44">
        <f>((H144/'Erkrankungs- und Strukturdaten'!$C$25)*'Erkrankungs- und Strukturdaten'!$E$27*'Erkrankungs- und Strukturdaten'!$F$27)+(H144/'Erkrankungs- und Strukturdaten'!$C$26*'Erkrankungs- und Strukturdaten'!$G$27)</f>
        <v>11242.133333333335</v>
      </c>
      <c r="V144" s="44">
        <f>(I144/'Erkrankungs- und Strukturdaten'!$C$28*'Erkrankungs- und Strukturdaten'!$E$30*'Erkrankungs- und Strukturdaten'!$F$30)+(I144/'Erkrankungs- und Strukturdaten'!$C$29*'Erkrankungs- und Strukturdaten'!$G$30)</f>
        <v>6167.6285714285714</v>
      </c>
      <c r="AB144" s="2">
        <f t="shared" si="6"/>
        <v>44379</v>
      </c>
    </row>
    <row r="145" spans="1:28" ht="15" x14ac:dyDescent="0.2">
      <c r="A145" s="42">
        <v>136</v>
      </c>
      <c r="B145" s="371"/>
      <c r="C145" s="27">
        <f t="shared" si="5"/>
        <v>44380</v>
      </c>
      <c r="D145" s="6">
        <f>SUMIF('Fallzahlen (Berechnung)'!D:D,"&lt;="&amp;Prognoseergebnis!C145,'Fallzahlen (Berechnung)'!E:E)-'Fallzahlen (Berechnung)'!$E$1</f>
        <v>893097.39552723384</v>
      </c>
      <c r="E145" s="114" t="e">
        <f>VLOOKUP(C145,'Fallzahlen (Berechnung)'!$D:$E,'Fallzahlen (Berechnung)'!$E$1,FALSE)</f>
        <v>#N/A</v>
      </c>
      <c r="G145" s="18">
        <v>136</v>
      </c>
      <c r="H145" s="6">
        <f>ROUND('Erkrankungs- und Strukturdaten'!$C$8*D145-IF(G145&gt;'Erkrankungs- und Strukturdaten'!$C$14,VLOOKUP(Prognoseergebnis!G145-ROUNDDOWN('Erkrankungs- und Strukturdaten'!$C$14,0),$A:$D,$D$6,FALSE)*'Erkrankungs- und Strukturdaten'!$C$8,0)
+IF(G145&gt;'Erkrankungs- und Strukturdaten'!$C$15,VLOOKUP(Prognoseergebnis!G145-ROUNDDOWN('Erkrankungs- und Strukturdaten'!$C$15,0),A:D,$D$6,FALSE)*'Erkrankungs- und Strukturdaten'!$C$9,0)
-IF(G145&gt;'Erkrankungs- und Strukturdaten'!$C$15+'Erkrankungs- und Strukturdaten'!$C$16,VLOOKUP(Prognoseergebnis!G145-ROUNDDOWN('Erkrankungs- und Strukturdaten'!$C$15-'Erkrankungs- und Strukturdaten'!$C$16,0),A:D,$D$6,FALSE)*'Erkrankungs- und Strukturdaten'!$C$9,0),0)</f>
        <v>2637</v>
      </c>
      <c r="I145" s="6">
        <f>ROUND('Erkrankungs- und Strukturdaten'!$C$9*D145-IF(G145&gt;'Erkrankungs- und Strukturdaten'!$C$15,VLOOKUP(Prognoseergebnis!G145-'Erkrankungs- und Strukturdaten'!$C$15,$A:$D,$D$6,FALSE)*'Erkrankungs- und Strukturdaten'!$C$9,0),0)</f>
        <v>646</v>
      </c>
      <c r="J145" s="6">
        <f>I145*'Erkrankungs- und Strukturdaten'!$C$10/'Erkrankungs- und Strukturdaten'!$C$9</f>
        <v>316.53999999999996</v>
      </c>
      <c r="K145" s="6">
        <f>I145*'Erkrankungs- und Strukturdaten'!$C$21</f>
        <v>12920</v>
      </c>
      <c r="L145" s="11"/>
      <c r="M145" s="82">
        <f>SUM($K$66:K145)</f>
        <v>863120</v>
      </c>
      <c r="N145" s="9"/>
      <c r="O145" s="6">
        <f>IF(AND(((H145/'Erkrankungs- und Strukturdaten'!$C$25)*'Erkrankungs- und Strukturdaten'!$E$27)+(H145/'Erkrankungs- und Strukturdaten'!$C$26)&lt;1,((H145/'Erkrankungs- und Strukturdaten'!$C$25)*'Erkrankungs- und Strukturdaten'!$E$27)+(H145/'Erkrankungs- und Strukturdaten'!$C$26)&gt;0),1,((H145/'Erkrankungs- und Strukturdaten'!$C$25)*'Erkrankungs- und Strukturdaten'!$E$27)+(H145/'Erkrankungs- und Strukturdaten'!$C$26))</f>
        <v>1142.7</v>
      </c>
      <c r="P145" s="6">
        <f>ROUNDUP(((I145/'Erkrankungs- und Strukturdaten'!$C$28)*'Erkrankungs- und Strukturdaten'!$E$30)+(I145/'Erkrankungs- und Strukturdaten'!$C$29),0)</f>
        <v>702</v>
      </c>
      <c r="Q145" s="6">
        <f>ROUNDUP((H145/'Erkrankungs- und Strukturdaten'!$C$34*'Erkrankungs- und Strukturdaten'!$E$36)+(H145/'Erkrankungs- und Strukturdaten'!$C$35),0)</f>
        <v>184</v>
      </c>
      <c r="R145" s="6">
        <f>ROUNDUP((I145*'Erkrankungs- und Strukturdaten'!$C$40/'Erkrankungs- und Strukturdaten'!$C$38*'Erkrankungs- und Strukturdaten'!$E$39)+(I145*(1-'Erkrankungs- und Strukturdaten'!$C$40)/'Erkrankungs- und Strukturdaten'!$C$37*'Erkrankungs- und Strukturdaten'!$E$39),0)</f>
        <v>89</v>
      </c>
      <c r="S145" s="52"/>
      <c r="U145" s="44">
        <f>((H145/'Erkrankungs- und Strukturdaten'!$C$25)*'Erkrankungs- und Strukturdaten'!$E$27*'Erkrankungs- und Strukturdaten'!$F$27)+(H145/'Erkrankungs- und Strukturdaten'!$C$26*'Erkrankungs- und Strukturdaten'!$G$27)</f>
        <v>9405.2999999999993</v>
      </c>
      <c r="V145" s="44">
        <f>(I145/'Erkrankungs- und Strukturdaten'!$C$28*'Erkrankungs- und Strukturdaten'!$E$30*'Erkrankungs- und Strukturdaten'!$F$30)+(I145/'Erkrankungs- und Strukturdaten'!$C$29*'Erkrankungs- und Strukturdaten'!$G$30)</f>
        <v>5732.7885714285712</v>
      </c>
      <c r="AB145" s="2">
        <f t="shared" si="6"/>
        <v>44380</v>
      </c>
    </row>
    <row r="146" spans="1:28" ht="15" x14ac:dyDescent="0.2">
      <c r="A146" s="42">
        <v>137</v>
      </c>
      <c r="B146" s="371"/>
      <c r="C146" s="28">
        <f t="shared" si="5"/>
        <v>44381</v>
      </c>
      <c r="D146" s="5">
        <f>SUMIF('Fallzahlen (Berechnung)'!D:D,"&lt;="&amp;Prognoseergebnis!C146,'Fallzahlen (Berechnung)'!E:E)-'Fallzahlen (Berechnung)'!$E$1</f>
        <v>893097.39552723384</v>
      </c>
      <c r="E146" s="115" t="e">
        <f>VLOOKUP(C146,'Fallzahlen (Berechnung)'!$D:$E,'Fallzahlen (Berechnung)'!$E$1,FALSE)</f>
        <v>#N/A</v>
      </c>
      <c r="G146" s="18">
        <v>137</v>
      </c>
      <c r="H146" s="5">
        <f>ROUND('Erkrankungs- und Strukturdaten'!$C$8*D146-IF(G146&gt;'Erkrankungs- und Strukturdaten'!$C$14,VLOOKUP(Prognoseergebnis!G146-ROUNDDOWN('Erkrankungs- und Strukturdaten'!$C$14,0),$A:$D,$D$6,FALSE)*'Erkrankungs- und Strukturdaten'!$C$8,0)
+IF(G146&gt;'Erkrankungs- und Strukturdaten'!$C$15,VLOOKUP(Prognoseergebnis!G146-ROUNDDOWN('Erkrankungs- und Strukturdaten'!$C$15,0),A:D,$D$6,FALSE)*'Erkrankungs- und Strukturdaten'!$C$9,0)
-IF(G146&gt;'Erkrankungs- und Strukturdaten'!$C$15+'Erkrankungs- und Strukturdaten'!$C$16,VLOOKUP(Prognoseergebnis!G146-ROUNDDOWN('Erkrankungs- und Strukturdaten'!$C$15-'Erkrankungs- und Strukturdaten'!$C$16,0),A:D,$D$6,FALSE)*'Erkrankungs- und Strukturdaten'!$C$9,0),0)</f>
        <v>2239</v>
      </c>
      <c r="I146" s="5">
        <f>ROUND('Erkrankungs- und Strukturdaten'!$C$9*D146-IF(G146&gt;'Erkrankungs- und Strukturdaten'!$C$15,VLOOKUP(Prognoseergebnis!G146-'Erkrankungs- und Strukturdaten'!$C$15,$A:$D,$D$6,FALSE)*'Erkrankungs- und Strukturdaten'!$C$9,0),0)</f>
        <v>609</v>
      </c>
      <c r="J146" s="5">
        <f>I146*'Erkrankungs- und Strukturdaten'!$C$10/'Erkrankungs- und Strukturdaten'!$C$9</f>
        <v>298.40999999999997</v>
      </c>
      <c r="K146" s="5">
        <f>I146*'Erkrankungs- und Strukturdaten'!$C$21</f>
        <v>12180</v>
      </c>
      <c r="L146" s="11"/>
      <c r="M146" s="82">
        <f>SUM($K$66:K146)</f>
        <v>875300</v>
      </c>
      <c r="N146" s="9"/>
      <c r="O146" s="5">
        <f>IF(AND(((H146/'Erkrankungs- und Strukturdaten'!$C$25)*'Erkrankungs- und Strukturdaten'!$E$27)+(H146/'Erkrankungs- und Strukturdaten'!$C$26)&lt;1,((H146/'Erkrankungs- und Strukturdaten'!$C$25)*'Erkrankungs- und Strukturdaten'!$E$27)+(H146/'Erkrankungs- und Strukturdaten'!$C$26)&gt;0),1,((H146/'Erkrankungs- und Strukturdaten'!$C$25)*'Erkrankungs- und Strukturdaten'!$E$27)+(H146/'Erkrankungs- und Strukturdaten'!$C$26))</f>
        <v>970.23333333333335</v>
      </c>
      <c r="P146" s="5">
        <f>ROUNDUP(((I146/'Erkrankungs- und Strukturdaten'!$C$28)*'Erkrankungs- und Strukturdaten'!$E$30)+(I146/'Erkrankungs- und Strukturdaten'!$C$29),0)</f>
        <v>662</v>
      </c>
      <c r="Q146" s="5">
        <f>ROUNDUP((H146/'Erkrankungs- und Strukturdaten'!$C$34*'Erkrankungs- und Strukturdaten'!$E$36)+(H146/'Erkrankungs- und Strukturdaten'!$C$35),0)</f>
        <v>156</v>
      </c>
      <c r="R146" s="5">
        <f>ROUNDUP((I146*'Erkrankungs- und Strukturdaten'!$C$40/'Erkrankungs- und Strukturdaten'!$C$38*'Erkrankungs- und Strukturdaten'!$E$39)+(I146*(1-'Erkrankungs- und Strukturdaten'!$C$40)/'Erkrankungs- und Strukturdaten'!$C$37*'Erkrankungs- und Strukturdaten'!$E$39),0)</f>
        <v>84</v>
      </c>
      <c r="S146" s="52"/>
      <c r="U146" s="44">
        <f>((H146/'Erkrankungs- und Strukturdaten'!$C$25)*'Erkrankungs- und Strukturdaten'!$E$27*'Erkrankungs- und Strukturdaten'!$F$27)+(H146/'Erkrankungs- und Strukturdaten'!$C$26*'Erkrankungs- und Strukturdaten'!$G$27)</f>
        <v>7985.7666666666673</v>
      </c>
      <c r="V146" s="44">
        <f>(I146/'Erkrankungs- und Strukturdaten'!$C$28*'Erkrankungs- und Strukturdaten'!$E$30*'Erkrankungs- und Strukturdaten'!$F$30)+(I146/'Erkrankungs- und Strukturdaten'!$C$29*'Erkrankungs- und Strukturdaten'!$G$30)</f>
        <v>5404.4400000000005</v>
      </c>
      <c r="AB146" s="2">
        <f t="shared" si="6"/>
        <v>44381</v>
      </c>
    </row>
    <row r="147" spans="1:28" ht="15" x14ac:dyDescent="0.2">
      <c r="A147" s="42">
        <v>138</v>
      </c>
      <c r="B147" s="371"/>
      <c r="C147" s="27">
        <f t="shared" si="5"/>
        <v>44382</v>
      </c>
      <c r="D147" s="6">
        <f>SUMIF('Fallzahlen (Berechnung)'!D:D,"&lt;="&amp;Prognoseergebnis!C147,'Fallzahlen (Berechnung)'!E:E)-'Fallzahlen (Berechnung)'!$E$1</f>
        <v>893097.39552723384</v>
      </c>
      <c r="E147" s="114" t="e">
        <f>VLOOKUP(C147,'Fallzahlen (Berechnung)'!$D:$E,'Fallzahlen (Berechnung)'!$E$1,FALSE)</f>
        <v>#N/A</v>
      </c>
      <c r="G147" s="18">
        <v>138</v>
      </c>
      <c r="H147" s="6">
        <f>ROUND('Erkrankungs- und Strukturdaten'!$C$8*D147-IF(G147&gt;'Erkrankungs- und Strukturdaten'!$C$14,VLOOKUP(Prognoseergebnis!G147-ROUNDDOWN('Erkrankungs- und Strukturdaten'!$C$14,0),$A:$D,$D$6,FALSE)*'Erkrankungs- und Strukturdaten'!$C$8,0)
+IF(G147&gt;'Erkrankungs- und Strukturdaten'!$C$15,VLOOKUP(Prognoseergebnis!G147-ROUNDDOWN('Erkrankungs- und Strukturdaten'!$C$15,0),A:D,$D$6,FALSE)*'Erkrankungs- und Strukturdaten'!$C$9,0)
-IF(G147&gt;'Erkrankungs- und Strukturdaten'!$C$15+'Erkrankungs- und Strukturdaten'!$C$16,VLOOKUP(Prognoseergebnis!G147-ROUNDDOWN('Erkrankungs- und Strukturdaten'!$C$15-'Erkrankungs- und Strukturdaten'!$C$16,0),A:D,$D$6,FALSE)*'Erkrankungs- und Strukturdaten'!$C$9,0),0)</f>
        <v>1371</v>
      </c>
      <c r="I147" s="6">
        <f>ROUND('Erkrankungs- und Strukturdaten'!$C$9*D147-IF(G147&gt;'Erkrankungs- und Strukturdaten'!$C$15,VLOOKUP(Prognoseergebnis!G147-'Erkrankungs- und Strukturdaten'!$C$15,$A:$D,$D$6,FALSE)*'Erkrankungs- und Strukturdaten'!$C$9,0),0)</f>
        <v>581</v>
      </c>
      <c r="J147" s="6">
        <f>I147*'Erkrankungs- und Strukturdaten'!$C$10/'Erkrankungs- und Strukturdaten'!$C$9</f>
        <v>284.69</v>
      </c>
      <c r="K147" s="6">
        <f>I147*'Erkrankungs- und Strukturdaten'!$C$21</f>
        <v>11620</v>
      </c>
      <c r="L147" s="11"/>
      <c r="M147" s="82">
        <f>SUM($K$66:K147)</f>
        <v>886920</v>
      </c>
      <c r="N147" s="9"/>
      <c r="O147" s="6">
        <f>IF(AND(((H147/'Erkrankungs- und Strukturdaten'!$C$25)*'Erkrankungs- und Strukturdaten'!$E$27)+(H147/'Erkrankungs- und Strukturdaten'!$C$26)&lt;1,((H147/'Erkrankungs- und Strukturdaten'!$C$25)*'Erkrankungs- und Strukturdaten'!$E$27)+(H147/'Erkrankungs- und Strukturdaten'!$C$26)&gt;0),1,((H147/'Erkrankungs- und Strukturdaten'!$C$25)*'Erkrankungs- und Strukturdaten'!$E$27)+(H147/'Erkrankungs- und Strukturdaten'!$C$26))</f>
        <v>594.1</v>
      </c>
      <c r="P147" s="6">
        <f>ROUNDUP(((I147/'Erkrankungs- und Strukturdaten'!$C$28)*'Erkrankungs- und Strukturdaten'!$E$30)+(I147/'Erkrankungs- und Strukturdaten'!$C$29),0)</f>
        <v>631</v>
      </c>
      <c r="Q147" s="6">
        <f>ROUNDUP((H147/'Erkrankungs- und Strukturdaten'!$C$34*'Erkrankungs- und Strukturdaten'!$E$36)+(H147/'Erkrankungs- und Strukturdaten'!$C$35),0)</f>
        <v>96</v>
      </c>
      <c r="R147" s="6">
        <f>ROUNDUP((I147*'Erkrankungs- und Strukturdaten'!$C$40/'Erkrankungs- und Strukturdaten'!$C$38*'Erkrankungs- und Strukturdaten'!$E$39)+(I147*(1-'Erkrankungs- und Strukturdaten'!$C$40)/'Erkrankungs- und Strukturdaten'!$C$37*'Erkrankungs- und Strukturdaten'!$E$39),0)</f>
        <v>80</v>
      </c>
      <c r="S147" s="52"/>
      <c r="U147" s="44">
        <f>((H147/'Erkrankungs- und Strukturdaten'!$C$25)*'Erkrankungs- und Strukturdaten'!$E$27*'Erkrankungs- und Strukturdaten'!$F$27)+(H147/'Erkrankungs- und Strukturdaten'!$C$26*'Erkrankungs- und Strukturdaten'!$G$27)</f>
        <v>4889.8999999999996</v>
      </c>
      <c r="V147" s="44">
        <f>(I147/'Erkrankungs- und Strukturdaten'!$C$28*'Erkrankungs- und Strukturdaten'!$E$30*'Erkrankungs- und Strukturdaten'!$F$30)+(I147/'Erkrankungs- und Strukturdaten'!$C$29*'Erkrankungs- und Strukturdaten'!$G$30)</f>
        <v>5155.96</v>
      </c>
      <c r="AB147" s="2">
        <f t="shared" si="6"/>
        <v>44382</v>
      </c>
    </row>
    <row r="148" spans="1:28" ht="15" x14ac:dyDescent="0.2">
      <c r="A148" s="42">
        <v>139</v>
      </c>
      <c r="B148" s="371"/>
      <c r="C148" s="28">
        <f t="shared" si="5"/>
        <v>44383</v>
      </c>
      <c r="D148" s="5">
        <f>SUMIF('Fallzahlen (Berechnung)'!D:D,"&lt;="&amp;Prognoseergebnis!C148,'Fallzahlen (Berechnung)'!E:E)-'Fallzahlen (Berechnung)'!$E$1</f>
        <v>893097.39552723384</v>
      </c>
      <c r="E148" s="115" t="e">
        <f>VLOOKUP(C148,'Fallzahlen (Berechnung)'!$D:$E,'Fallzahlen (Berechnung)'!$E$1,FALSE)</f>
        <v>#N/A</v>
      </c>
      <c r="G148" s="18">
        <v>139</v>
      </c>
      <c r="H148" s="5">
        <f>ROUND('Erkrankungs- und Strukturdaten'!$C$8*D148-IF(G148&gt;'Erkrankungs- und Strukturdaten'!$C$14,VLOOKUP(Prognoseergebnis!G148-ROUNDDOWN('Erkrankungs- und Strukturdaten'!$C$14,0),$A:$D,$D$6,FALSE)*'Erkrankungs- und Strukturdaten'!$C$8,0)
+IF(G148&gt;'Erkrankungs- und Strukturdaten'!$C$15,VLOOKUP(Prognoseergebnis!G148-ROUNDDOWN('Erkrankungs- und Strukturdaten'!$C$15,0),A:D,$D$6,FALSE)*'Erkrankungs- und Strukturdaten'!$C$9,0)
-IF(G148&gt;'Erkrankungs- und Strukturdaten'!$C$15+'Erkrankungs- und Strukturdaten'!$C$16,VLOOKUP(Prognoseergebnis!G148-ROUNDDOWN('Erkrankungs- und Strukturdaten'!$C$15-'Erkrankungs- und Strukturdaten'!$C$16,0),A:D,$D$6,FALSE)*'Erkrankungs- und Strukturdaten'!$C$9,0),0)</f>
        <v>510</v>
      </c>
      <c r="I148" s="5">
        <f>ROUND('Erkrankungs- und Strukturdaten'!$C$9*D148-IF(G148&gt;'Erkrankungs- und Strukturdaten'!$C$15,VLOOKUP(Prognoseergebnis!G148-'Erkrankungs- und Strukturdaten'!$C$15,$A:$D,$D$6,FALSE)*'Erkrankungs- und Strukturdaten'!$C$9,0),0)</f>
        <v>518</v>
      </c>
      <c r="J148" s="5">
        <f>I148*'Erkrankungs- und Strukturdaten'!$C$10/'Erkrankungs- und Strukturdaten'!$C$9</f>
        <v>253.82</v>
      </c>
      <c r="K148" s="5">
        <f>I148*'Erkrankungs- und Strukturdaten'!$C$21</f>
        <v>10360</v>
      </c>
      <c r="L148" s="11"/>
      <c r="M148" s="82">
        <f>SUM($K$66:K148)</f>
        <v>897280</v>
      </c>
      <c r="N148" s="9"/>
      <c r="O148" s="5">
        <f>IF(AND(((H148/'Erkrankungs- und Strukturdaten'!$C$25)*'Erkrankungs- und Strukturdaten'!$E$27)+(H148/'Erkrankungs- und Strukturdaten'!$C$26)&lt;1,((H148/'Erkrankungs- und Strukturdaten'!$C$25)*'Erkrankungs- und Strukturdaten'!$E$27)+(H148/'Erkrankungs- und Strukturdaten'!$C$26)&gt;0),1,((H148/'Erkrankungs- und Strukturdaten'!$C$25)*'Erkrankungs- und Strukturdaten'!$E$27)+(H148/'Erkrankungs- und Strukturdaten'!$C$26))</f>
        <v>221</v>
      </c>
      <c r="P148" s="5">
        <f>ROUNDUP(((I148/'Erkrankungs- und Strukturdaten'!$C$28)*'Erkrankungs- und Strukturdaten'!$E$30)+(I148/'Erkrankungs- und Strukturdaten'!$C$29),0)</f>
        <v>563</v>
      </c>
      <c r="Q148" s="5">
        <f>ROUNDUP((H148/'Erkrankungs- und Strukturdaten'!$C$34*'Erkrankungs- und Strukturdaten'!$E$36)+(H148/'Erkrankungs- und Strukturdaten'!$C$35),0)</f>
        <v>36</v>
      </c>
      <c r="R148" s="5">
        <f>ROUNDUP((I148*'Erkrankungs- und Strukturdaten'!$C$40/'Erkrankungs- und Strukturdaten'!$C$38*'Erkrankungs- und Strukturdaten'!$E$39)+(I148*(1-'Erkrankungs- und Strukturdaten'!$C$40)/'Erkrankungs- und Strukturdaten'!$C$37*'Erkrankungs- und Strukturdaten'!$E$39),0)</f>
        <v>71</v>
      </c>
      <c r="S148" s="52"/>
      <c r="U148" s="44">
        <f>((H148/'Erkrankungs- und Strukturdaten'!$C$25)*'Erkrankungs- und Strukturdaten'!$E$27*'Erkrankungs- und Strukturdaten'!$F$27)+(H148/'Erkrankungs- und Strukturdaten'!$C$26*'Erkrankungs- und Strukturdaten'!$G$27)</f>
        <v>1819</v>
      </c>
      <c r="V148" s="44">
        <f>(I148/'Erkrankungs- und Strukturdaten'!$C$28*'Erkrankungs- und Strukturdaten'!$E$30*'Erkrankungs- und Strukturdaten'!$F$30)+(I148/'Erkrankungs- und Strukturdaten'!$C$29*'Erkrankungs- und Strukturdaten'!$G$30)</f>
        <v>4596.88</v>
      </c>
      <c r="AB148" s="2">
        <f t="shared" si="6"/>
        <v>44383</v>
      </c>
    </row>
    <row r="149" spans="1:28" ht="15" x14ac:dyDescent="0.2">
      <c r="A149" s="42">
        <v>140</v>
      </c>
      <c r="B149" s="371"/>
      <c r="C149" s="73">
        <f t="shared" si="5"/>
        <v>44384</v>
      </c>
      <c r="D149" s="74">
        <f>SUMIF('Fallzahlen (Berechnung)'!D:D,"&lt;="&amp;Prognoseergebnis!C149,'Fallzahlen (Berechnung)'!E:E)-'Fallzahlen (Berechnung)'!$E$1</f>
        <v>893097.39552723384</v>
      </c>
      <c r="E149" s="119" t="e">
        <f>VLOOKUP(C149,'Fallzahlen (Berechnung)'!$D:$E,'Fallzahlen (Berechnung)'!$E$1,FALSE)</f>
        <v>#N/A</v>
      </c>
      <c r="G149" s="18">
        <v>140</v>
      </c>
      <c r="H149" s="74">
        <f>ROUND('Erkrankungs- und Strukturdaten'!$C$8*D149-IF(G149&gt;'Erkrankungs- und Strukturdaten'!$C$14,VLOOKUP(Prognoseergebnis!G149-ROUNDDOWN('Erkrankungs- und Strukturdaten'!$C$14,0),$A:$D,$D$6,FALSE)*'Erkrankungs- und Strukturdaten'!$C$8,0)
+IF(G149&gt;'Erkrankungs- und Strukturdaten'!$C$15,VLOOKUP(Prognoseergebnis!G149-ROUNDDOWN('Erkrankungs- und Strukturdaten'!$C$15,0),A:D,$D$6,FALSE)*'Erkrankungs- und Strukturdaten'!$C$9,0)
-IF(G149&gt;'Erkrankungs- und Strukturdaten'!$C$15+'Erkrankungs- und Strukturdaten'!$C$16,VLOOKUP(Prognoseergebnis!G149-ROUNDDOWN('Erkrankungs- und Strukturdaten'!$C$15-'Erkrankungs- und Strukturdaten'!$C$16,0),A:D,$D$6,FALSE)*'Erkrankungs- und Strukturdaten'!$C$9,0),0)</f>
        <v>-315</v>
      </c>
      <c r="I149" s="74">
        <f>ROUND('Erkrankungs- und Strukturdaten'!$C$9*D149-IF(G149&gt;'Erkrankungs- und Strukturdaten'!$C$15,VLOOKUP(Prognoseergebnis!G149-'Erkrankungs- und Strukturdaten'!$C$15,$A:$D,$D$6,FALSE)*'Erkrankungs- und Strukturdaten'!$C$9,0),0)</f>
        <v>452</v>
      </c>
      <c r="J149" s="74">
        <f>I149*'Erkrankungs- und Strukturdaten'!$C$10/'Erkrankungs- und Strukturdaten'!$C$9</f>
        <v>221.48</v>
      </c>
      <c r="K149" s="74">
        <f>I149*'Erkrankungs- und Strukturdaten'!$C$21</f>
        <v>9040</v>
      </c>
      <c r="L149" s="11"/>
      <c r="M149" s="82">
        <f>SUM($K$66:K149)</f>
        <v>906320</v>
      </c>
      <c r="N149" s="9"/>
      <c r="O149" s="74">
        <f>IF(AND(((H149/'Erkrankungs- und Strukturdaten'!$C$25)*'Erkrankungs- und Strukturdaten'!$E$27)+(H149/'Erkrankungs- und Strukturdaten'!$C$26)&lt;1,((H149/'Erkrankungs- und Strukturdaten'!$C$25)*'Erkrankungs- und Strukturdaten'!$E$27)+(H149/'Erkrankungs- und Strukturdaten'!$C$26)&gt;0),1,((H149/'Erkrankungs- und Strukturdaten'!$C$25)*'Erkrankungs- und Strukturdaten'!$E$27)+(H149/'Erkrankungs- und Strukturdaten'!$C$26))</f>
        <v>-136.5</v>
      </c>
      <c r="P149" s="74">
        <f>ROUNDUP(((I149/'Erkrankungs- und Strukturdaten'!$C$28)*'Erkrankungs- und Strukturdaten'!$E$30)+(I149/'Erkrankungs- und Strukturdaten'!$C$29),0)</f>
        <v>491</v>
      </c>
      <c r="Q149" s="74">
        <f>ROUNDUP((H149/'Erkrankungs- und Strukturdaten'!$C$34*'Erkrankungs- und Strukturdaten'!$E$36)+(H149/'Erkrankungs- und Strukturdaten'!$C$35),0)</f>
        <v>-22</v>
      </c>
      <c r="R149" s="74">
        <f>ROUNDUP((I149*'Erkrankungs- und Strukturdaten'!$C$40/'Erkrankungs- und Strukturdaten'!$C$38*'Erkrankungs- und Strukturdaten'!$E$39)+(I149*(1-'Erkrankungs- und Strukturdaten'!$C$40)/'Erkrankungs- und Strukturdaten'!$C$37*'Erkrankungs- und Strukturdaten'!$E$39),0)</f>
        <v>62</v>
      </c>
      <c r="S149" s="52"/>
      <c r="U149" s="44">
        <f>((H149/'Erkrankungs- und Strukturdaten'!$C$25)*'Erkrankungs- und Strukturdaten'!$E$27*'Erkrankungs- und Strukturdaten'!$F$27)+(H149/'Erkrankungs- und Strukturdaten'!$C$26*'Erkrankungs- und Strukturdaten'!$G$27)</f>
        <v>-1123.5</v>
      </c>
      <c r="V149" s="44">
        <f>(I149/'Erkrankungs- und Strukturdaten'!$C$28*'Erkrankungs- und Strukturdaten'!$E$30*'Erkrankungs- und Strukturdaten'!$F$30)+(I149/'Erkrankungs- und Strukturdaten'!$C$29*'Erkrankungs- und Strukturdaten'!$G$30)</f>
        <v>4011.1771428571428</v>
      </c>
      <c r="AB149" s="2">
        <f t="shared" si="6"/>
        <v>44384</v>
      </c>
    </row>
    <row r="150" spans="1:28" ht="15" x14ac:dyDescent="0.2">
      <c r="A150" s="42">
        <v>141</v>
      </c>
      <c r="B150" s="370" t="s">
        <v>204</v>
      </c>
      <c r="C150" s="78">
        <f t="shared" si="5"/>
        <v>44385</v>
      </c>
      <c r="D150" s="4">
        <f>SUMIF('Fallzahlen (Berechnung)'!D:D,"&lt;="&amp;Prognoseergebnis!C150,'Fallzahlen (Berechnung)'!E:E)-'Fallzahlen (Berechnung)'!$E$1</f>
        <v>893097.39552723384</v>
      </c>
      <c r="E150" s="116" t="e">
        <f>VLOOKUP(C150,'Fallzahlen (Berechnung)'!$D:$E,'Fallzahlen (Berechnung)'!$E$1,FALSE)</f>
        <v>#N/A</v>
      </c>
      <c r="G150" s="18">
        <v>141</v>
      </c>
      <c r="H150" s="4">
        <f>ROUND('Erkrankungs- und Strukturdaten'!$C$8*D150-IF(G150&gt;'Erkrankungs- und Strukturdaten'!$C$14,VLOOKUP(Prognoseergebnis!G150-ROUNDDOWN('Erkrankungs- und Strukturdaten'!$C$14,0),$A:$D,$D$6,FALSE)*'Erkrankungs- und Strukturdaten'!$C$8,0)
+IF(G150&gt;'Erkrankungs- und Strukturdaten'!$C$15,VLOOKUP(Prognoseergebnis!G150-ROUNDDOWN('Erkrankungs- und Strukturdaten'!$C$15,0),A:D,$D$6,FALSE)*'Erkrankungs- und Strukturdaten'!$C$9,0)
-IF(G150&gt;'Erkrankungs- und Strukturdaten'!$C$15+'Erkrankungs- und Strukturdaten'!$C$16,VLOOKUP(Prognoseergebnis!G150-ROUNDDOWN('Erkrankungs- und Strukturdaten'!$C$15-'Erkrankungs- und Strukturdaten'!$C$16,0),A:D,$D$6,FALSE)*'Erkrankungs- und Strukturdaten'!$C$9,0),0)</f>
        <v>-326</v>
      </c>
      <c r="I150" s="4">
        <f>ROUND('Erkrankungs- und Strukturdaten'!$C$9*D150-IF(G150&gt;'Erkrankungs- und Strukturdaten'!$C$15,VLOOKUP(Prognoseergebnis!G150-'Erkrankungs- und Strukturdaten'!$C$15,$A:$D,$D$6,FALSE)*'Erkrankungs- und Strukturdaten'!$C$9,0),0)</f>
        <v>391</v>
      </c>
      <c r="J150" s="4">
        <f>I150*'Erkrankungs- und Strukturdaten'!$C$10/'Erkrankungs- und Strukturdaten'!$C$9</f>
        <v>191.58999999999997</v>
      </c>
      <c r="K150" s="4">
        <f>I150*'Erkrankungs- und Strukturdaten'!$C$21</f>
        <v>7820</v>
      </c>
      <c r="L150" s="11"/>
      <c r="M150" s="82">
        <f>SUM($K$66:K150)</f>
        <v>914140</v>
      </c>
      <c r="N150" s="9"/>
      <c r="O150" s="4">
        <f>IF(AND(((H150/'Erkrankungs- und Strukturdaten'!$C$25)*'Erkrankungs- und Strukturdaten'!$E$27)+(H150/'Erkrankungs- und Strukturdaten'!$C$26)&lt;1,((H150/'Erkrankungs- und Strukturdaten'!$C$25)*'Erkrankungs- und Strukturdaten'!$E$27)+(H150/'Erkrankungs- und Strukturdaten'!$C$26)&gt;0),1,((H150/'Erkrankungs- und Strukturdaten'!$C$25)*'Erkrankungs- und Strukturdaten'!$E$27)+(H150/'Erkrankungs- und Strukturdaten'!$C$26))</f>
        <v>-141.26666666666668</v>
      </c>
      <c r="P150" s="4">
        <f>ROUNDUP(((I150/'Erkrankungs- und Strukturdaten'!$C$28)*'Erkrankungs- und Strukturdaten'!$E$30)+(I150/'Erkrankungs- und Strukturdaten'!$C$29),0)</f>
        <v>425</v>
      </c>
      <c r="Q150" s="4">
        <f>ROUNDUP((H150/'Erkrankungs- und Strukturdaten'!$C$34*'Erkrankungs- und Strukturdaten'!$E$36)+(H150/'Erkrankungs- und Strukturdaten'!$C$35),0)</f>
        <v>-23</v>
      </c>
      <c r="R150" s="4">
        <f>ROUNDUP((I150*'Erkrankungs- und Strukturdaten'!$C$40/'Erkrankungs- und Strukturdaten'!$C$38*'Erkrankungs- und Strukturdaten'!$E$39)+(I150*(1-'Erkrankungs- und Strukturdaten'!$C$40)/'Erkrankungs- und Strukturdaten'!$C$37*'Erkrankungs- und Strukturdaten'!$E$39),0)</f>
        <v>54</v>
      </c>
      <c r="S150" s="52"/>
      <c r="U150" s="44">
        <f>((H150/'Erkrankungs- und Strukturdaten'!$C$25)*'Erkrankungs- und Strukturdaten'!$E$27*'Erkrankungs- und Strukturdaten'!$F$27)+(H150/'Erkrankungs- und Strukturdaten'!$C$26*'Erkrankungs- und Strukturdaten'!$G$27)</f>
        <v>-1162.7333333333333</v>
      </c>
      <c r="V150" s="44">
        <f>(I150/'Erkrankungs- und Strukturdaten'!$C$28*'Erkrankungs- und Strukturdaten'!$E$30*'Erkrankungs- und Strukturdaten'!$F$30)+(I150/'Erkrankungs- und Strukturdaten'!$C$29*'Erkrankungs- und Strukturdaten'!$G$30)</f>
        <v>3469.8457142857142</v>
      </c>
      <c r="AB150" s="2">
        <f t="shared" si="6"/>
        <v>44385</v>
      </c>
    </row>
    <row r="151" spans="1:28" ht="15" x14ac:dyDescent="0.2">
      <c r="A151" s="42">
        <v>142</v>
      </c>
      <c r="B151" s="370"/>
      <c r="C151" s="27">
        <f t="shared" si="5"/>
        <v>44386</v>
      </c>
      <c r="D151" s="6">
        <f>SUMIF('Fallzahlen (Berechnung)'!D:D,"&lt;="&amp;Prognoseergebnis!C151,'Fallzahlen (Berechnung)'!E:E)-'Fallzahlen (Berechnung)'!$E$1</f>
        <v>893097.39552723384</v>
      </c>
      <c r="E151" s="114" t="e">
        <f>VLOOKUP(C151,'Fallzahlen (Berechnung)'!$D:$E,'Fallzahlen (Berechnung)'!$E$1,FALSE)</f>
        <v>#N/A</v>
      </c>
      <c r="G151" s="18">
        <v>142</v>
      </c>
      <c r="H151" s="6">
        <f>ROUND('Erkrankungs- und Strukturdaten'!$C$8*D151-IF(G151&gt;'Erkrankungs- und Strukturdaten'!$C$14,VLOOKUP(Prognoseergebnis!G151-ROUNDDOWN('Erkrankungs- und Strukturdaten'!$C$14,0),$A:$D,$D$6,FALSE)*'Erkrankungs- und Strukturdaten'!$C$8,0)
+IF(G151&gt;'Erkrankungs- und Strukturdaten'!$C$15,VLOOKUP(Prognoseergebnis!G151-ROUNDDOWN('Erkrankungs- und Strukturdaten'!$C$15,0),A:D,$D$6,FALSE)*'Erkrankungs- und Strukturdaten'!$C$9,0)
-IF(G151&gt;'Erkrankungs- und Strukturdaten'!$C$15+'Erkrankungs- und Strukturdaten'!$C$16,VLOOKUP(Prognoseergebnis!G151-ROUNDDOWN('Erkrankungs- und Strukturdaten'!$C$15-'Erkrankungs- und Strukturdaten'!$C$16,0),A:D,$D$6,FALSE)*'Erkrankungs- und Strukturdaten'!$C$9,0),0)</f>
        <v>-330</v>
      </c>
      <c r="I151" s="6">
        <f>ROUND('Erkrankungs- und Strukturdaten'!$C$9*D151-IF(G151&gt;'Erkrankungs- und Strukturdaten'!$C$15,VLOOKUP(Prognoseergebnis!G151-'Erkrankungs- und Strukturdaten'!$C$15,$A:$D,$D$6,FALSE)*'Erkrankungs- und Strukturdaten'!$C$9,0),0)</f>
        <v>330</v>
      </c>
      <c r="J151" s="6">
        <f>I151*'Erkrankungs- und Strukturdaten'!$C$10/'Erkrankungs- und Strukturdaten'!$C$9</f>
        <v>161.69999999999999</v>
      </c>
      <c r="K151" s="6">
        <f>I151*'Erkrankungs- und Strukturdaten'!$C$21</f>
        <v>6600</v>
      </c>
      <c r="L151" s="11"/>
      <c r="M151" s="82">
        <f>SUM($K$66:K151)</f>
        <v>920740</v>
      </c>
      <c r="N151" s="9"/>
      <c r="O151" s="6">
        <f>IF(AND(((H151/'Erkrankungs- und Strukturdaten'!$C$25)*'Erkrankungs- und Strukturdaten'!$E$27)+(H151/'Erkrankungs- und Strukturdaten'!$C$26)&lt;1,((H151/'Erkrankungs- und Strukturdaten'!$C$25)*'Erkrankungs- und Strukturdaten'!$E$27)+(H151/'Erkrankungs- und Strukturdaten'!$C$26)&gt;0),1,((H151/'Erkrankungs- und Strukturdaten'!$C$25)*'Erkrankungs- und Strukturdaten'!$E$27)+(H151/'Erkrankungs- und Strukturdaten'!$C$26))</f>
        <v>-143</v>
      </c>
      <c r="P151" s="6">
        <f>ROUNDUP(((I151/'Erkrankungs- und Strukturdaten'!$C$28)*'Erkrankungs- und Strukturdaten'!$E$30)+(I151/'Erkrankungs- und Strukturdaten'!$C$29),0)</f>
        <v>359</v>
      </c>
      <c r="Q151" s="6">
        <f>ROUNDUP((H151/'Erkrankungs- und Strukturdaten'!$C$34*'Erkrankungs- und Strukturdaten'!$E$36)+(H151/'Erkrankungs- und Strukturdaten'!$C$35),0)</f>
        <v>-23</v>
      </c>
      <c r="R151" s="6">
        <f>ROUNDUP((I151*'Erkrankungs- und Strukturdaten'!$C$40/'Erkrankungs- und Strukturdaten'!$C$38*'Erkrankungs- und Strukturdaten'!$E$39)+(I151*(1-'Erkrankungs- und Strukturdaten'!$C$40)/'Erkrankungs- und Strukturdaten'!$C$37*'Erkrankungs- und Strukturdaten'!$E$39),0)</f>
        <v>46</v>
      </c>
      <c r="S151" s="52"/>
      <c r="U151" s="44">
        <f>((H151/'Erkrankungs- und Strukturdaten'!$C$25)*'Erkrankungs- und Strukturdaten'!$E$27*'Erkrankungs- und Strukturdaten'!$F$27)+(H151/'Erkrankungs- und Strukturdaten'!$C$26*'Erkrankungs- und Strukturdaten'!$G$27)</f>
        <v>-1177</v>
      </c>
      <c r="V151" s="44">
        <f>(I151/'Erkrankungs- und Strukturdaten'!$C$28*'Erkrankungs- und Strukturdaten'!$E$30*'Erkrankungs- und Strukturdaten'!$F$30)+(I151/'Erkrankungs- und Strukturdaten'!$C$29*'Erkrankungs- und Strukturdaten'!$G$30)</f>
        <v>2928.5142857142855</v>
      </c>
      <c r="AB151" s="2">
        <f t="shared" si="6"/>
        <v>44386</v>
      </c>
    </row>
    <row r="152" spans="1:28" ht="15" x14ac:dyDescent="0.2">
      <c r="A152" s="42">
        <v>143</v>
      </c>
      <c r="B152" s="370"/>
      <c r="C152" s="28">
        <f t="shared" si="5"/>
        <v>44387</v>
      </c>
      <c r="D152" s="5">
        <f>SUMIF('Fallzahlen (Berechnung)'!D:D,"&lt;="&amp;Prognoseergebnis!C152,'Fallzahlen (Berechnung)'!E:E)-'Fallzahlen (Berechnung)'!$E$1</f>
        <v>893097.39552723384</v>
      </c>
      <c r="E152" s="115" t="e">
        <f>VLOOKUP(C152,'Fallzahlen (Berechnung)'!$D:$E,'Fallzahlen (Berechnung)'!$E$1,FALSE)</f>
        <v>#N/A</v>
      </c>
      <c r="G152" s="18">
        <v>143</v>
      </c>
      <c r="H152" s="5">
        <f>ROUND('Erkrankungs- und Strukturdaten'!$C$8*D152-IF(G152&gt;'Erkrankungs- und Strukturdaten'!$C$14,VLOOKUP(Prognoseergebnis!G152-ROUNDDOWN('Erkrankungs- und Strukturdaten'!$C$14,0),$A:$D,$D$6,FALSE)*'Erkrankungs- und Strukturdaten'!$C$8,0)
+IF(G152&gt;'Erkrankungs- und Strukturdaten'!$C$15,VLOOKUP(Prognoseergebnis!G152-ROUNDDOWN('Erkrankungs- und Strukturdaten'!$C$15,0),A:D,$D$6,FALSE)*'Erkrankungs- und Strukturdaten'!$C$9,0)
-IF(G152&gt;'Erkrankungs- und Strukturdaten'!$C$15+'Erkrankungs- und Strukturdaten'!$C$16,VLOOKUP(Prognoseergebnis!G152-ROUNDDOWN('Erkrankungs- und Strukturdaten'!$C$15-'Erkrankungs- und Strukturdaten'!$C$16,0),A:D,$D$6,FALSE)*'Erkrankungs- und Strukturdaten'!$C$9,0),0)</f>
        <v>-277</v>
      </c>
      <c r="I152" s="5">
        <f>ROUND('Erkrankungs- und Strukturdaten'!$C$9*D152-IF(G152&gt;'Erkrankungs- und Strukturdaten'!$C$15,VLOOKUP(Prognoseergebnis!G152-'Erkrankungs- und Strukturdaten'!$C$15,$A:$D,$D$6,FALSE)*'Erkrankungs- und Strukturdaten'!$C$9,0),0)</f>
        <v>277</v>
      </c>
      <c r="J152" s="5">
        <f>I152*'Erkrankungs- und Strukturdaten'!$C$10/'Erkrankungs- und Strukturdaten'!$C$9</f>
        <v>135.72999999999999</v>
      </c>
      <c r="K152" s="5">
        <f>I152*'Erkrankungs- und Strukturdaten'!$C$21</f>
        <v>5540</v>
      </c>
      <c r="L152" s="11"/>
      <c r="M152" s="82">
        <f>SUM($K$66:K152)</f>
        <v>926280</v>
      </c>
      <c r="N152" s="9"/>
      <c r="O152" s="5">
        <f>IF(AND(((H152/'Erkrankungs- und Strukturdaten'!$C$25)*'Erkrankungs- und Strukturdaten'!$E$27)+(H152/'Erkrankungs- und Strukturdaten'!$C$26)&lt;1,((H152/'Erkrankungs- und Strukturdaten'!$C$25)*'Erkrankungs- und Strukturdaten'!$E$27)+(H152/'Erkrankungs- und Strukturdaten'!$C$26)&gt;0),1,((H152/'Erkrankungs- und Strukturdaten'!$C$25)*'Erkrankungs- und Strukturdaten'!$E$27)+(H152/'Erkrankungs- und Strukturdaten'!$C$26))</f>
        <v>-120.03333333333333</v>
      </c>
      <c r="P152" s="5">
        <f>ROUNDUP(((I152/'Erkrankungs- und Strukturdaten'!$C$28)*'Erkrankungs- und Strukturdaten'!$E$30)+(I152/'Erkrankungs- und Strukturdaten'!$C$29),0)</f>
        <v>301</v>
      </c>
      <c r="Q152" s="5">
        <f>ROUNDUP((H152/'Erkrankungs- und Strukturdaten'!$C$34*'Erkrankungs- und Strukturdaten'!$E$36)+(H152/'Erkrankungs- und Strukturdaten'!$C$35),0)</f>
        <v>-20</v>
      </c>
      <c r="R152" s="5">
        <f>ROUNDUP((I152*'Erkrankungs- und Strukturdaten'!$C$40/'Erkrankungs- und Strukturdaten'!$C$38*'Erkrankungs- und Strukturdaten'!$E$39)+(I152*(1-'Erkrankungs- und Strukturdaten'!$C$40)/'Erkrankungs- und Strukturdaten'!$C$37*'Erkrankungs- und Strukturdaten'!$E$39),0)</f>
        <v>38</v>
      </c>
      <c r="S152" s="52"/>
      <c r="U152" s="44">
        <f>((H152/'Erkrankungs- und Strukturdaten'!$C$25)*'Erkrankungs- und Strukturdaten'!$E$27*'Erkrankungs- und Strukturdaten'!$F$27)+(H152/'Erkrankungs- und Strukturdaten'!$C$26*'Erkrankungs- und Strukturdaten'!$G$27)</f>
        <v>-987.9666666666667</v>
      </c>
      <c r="V152" s="44">
        <f>(I152/'Erkrankungs- und Strukturdaten'!$C$28*'Erkrankungs- und Strukturdaten'!$E$30*'Erkrankungs- und Strukturdaten'!$F$30)+(I152/'Erkrankungs- und Strukturdaten'!$C$29*'Erkrankungs- und Strukturdaten'!$G$30)</f>
        <v>2458.1771428571428</v>
      </c>
      <c r="AB152" s="2">
        <f t="shared" si="6"/>
        <v>44387</v>
      </c>
    </row>
    <row r="153" spans="1:28" ht="15" x14ac:dyDescent="0.2">
      <c r="A153" s="42">
        <v>144</v>
      </c>
      <c r="B153" s="370"/>
      <c r="C153" s="27">
        <f t="shared" si="5"/>
        <v>44388</v>
      </c>
      <c r="D153" s="6">
        <f>SUMIF('Fallzahlen (Berechnung)'!D:D,"&lt;="&amp;Prognoseergebnis!C153,'Fallzahlen (Berechnung)'!E:E)-'Fallzahlen (Berechnung)'!$E$1</f>
        <v>893097.39552723384</v>
      </c>
      <c r="E153" s="114" t="e">
        <f>VLOOKUP(C153,'Fallzahlen (Berechnung)'!$D:$E,'Fallzahlen (Berechnung)'!$E$1,FALSE)</f>
        <v>#N/A</v>
      </c>
      <c r="G153" s="18">
        <v>144</v>
      </c>
      <c r="H153" s="6">
        <f>ROUND('Erkrankungs- und Strukturdaten'!$C$8*D153-IF(G153&gt;'Erkrankungs- und Strukturdaten'!$C$14,VLOOKUP(Prognoseergebnis!G153-ROUNDDOWN('Erkrankungs- und Strukturdaten'!$C$14,0),$A:$D,$D$6,FALSE)*'Erkrankungs- und Strukturdaten'!$C$8,0)
+IF(G153&gt;'Erkrankungs- und Strukturdaten'!$C$15,VLOOKUP(Prognoseergebnis!G153-ROUNDDOWN('Erkrankungs- und Strukturdaten'!$C$15,0),A:D,$D$6,FALSE)*'Erkrankungs- und Strukturdaten'!$C$9,0)
-IF(G153&gt;'Erkrankungs- und Strukturdaten'!$C$15+'Erkrankungs- und Strukturdaten'!$C$16,VLOOKUP(Prognoseergebnis!G153-ROUNDDOWN('Erkrankungs- und Strukturdaten'!$C$15-'Erkrankungs- und Strukturdaten'!$C$16,0),A:D,$D$6,FALSE)*'Erkrankungs- und Strukturdaten'!$C$9,0),0)</f>
        <v>-236</v>
      </c>
      <c r="I153" s="6">
        <f>ROUND('Erkrankungs- und Strukturdaten'!$C$9*D153-IF(G153&gt;'Erkrankungs- und Strukturdaten'!$C$15,VLOOKUP(Prognoseergebnis!G153-'Erkrankungs- und Strukturdaten'!$C$15,$A:$D,$D$6,FALSE)*'Erkrankungs- und Strukturdaten'!$C$9,0),0)</f>
        <v>236</v>
      </c>
      <c r="J153" s="6">
        <f>I153*'Erkrankungs- und Strukturdaten'!$C$10/'Erkrankungs- und Strukturdaten'!$C$9</f>
        <v>115.63999999999999</v>
      </c>
      <c r="K153" s="6">
        <f>I153*'Erkrankungs- und Strukturdaten'!$C$21</f>
        <v>4720</v>
      </c>
      <c r="L153" s="11"/>
      <c r="M153" s="82">
        <f>SUM($K$66:K153)</f>
        <v>931000</v>
      </c>
      <c r="N153" s="9"/>
      <c r="O153" s="6">
        <f>IF(AND(((H153/'Erkrankungs- und Strukturdaten'!$C$25)*'Erkrankungs- und Strukturdaten'!$E$27)+(H153/'Erkrankungs- und Strukturdaten'!$C$26)&lt;1,((H153/'Erkrankungs- und Strukturdaten'!$C$25)*'Erkrankungs- und Strukturdaten'!$E$27)+(H153/'Erkrankungs- und Strukturdaten'!$C$26)&gt;0),1,((H153/'Erkrankungs- und Strukturdaten'!$C$25)*'Erkrankungs- und Strukturdaten'!$E$27)+(H153/'Erkrankungs- und Strukturdaten'!$C$26))</f>
        <v>-102.26666666666668</v>
      </c>
      <c r="P153" s="6">
        <f>ROUNDUP(((I153/'Erkrankungs- und Strukturdaten'!$C$28)*'Erkrankungs- und Strukturdaten'!$E$30)+(I153/'Erkrankungs- und Strukturdaten'!$C$29),0)</f>
        <v>257</v>
      </c>
      <c r="Q153" s="6">
        <f>ROUNDUP((H153/'Erkrankungs- und Strukturdaten'!$C$34*'Erkrankungs- und Strukturdaten'!$E$36)+(H153/'Erkrankungs- und Strukturdaten'!$C$35),0)</f>
        <v>-17</v>
      </c>
      <c r="R153" s="6">
        <f>ROUNDUP((I153*'Erkrankungs- und Strukturdaten'!$C$40/'Erkrankungs- und Strukturdaten'!$C$38*'Erkrankungs- und Strukturdaten'!$E$39)+(I153*(1-'Erkrankungs- und Strukturdaten'!$C$40)/'Erkrankungs- und Strukturdaten'!$C$37*'Erkrankungs- und Strukturdaten'!$E$39),0)</f>
        <v>33</v>
      </c>
      <c r="S153" s="52"/>
      <c r="U153" s="44">
        <f>((H153/'Erkrankungs- und Strukturdaten'!$C$25)*'Erkrankungs- und Strukturdaten'!$E$27*'Erkrankungs- und Strukturdaten'!$F$27)+(H153/'Erkrankungs- und Strukturdaten'!$C$26*'Erkrankungs- und Strukturdaten'!$G$27)</f>
        <v>-841.73333333333335</v>
      </c>
      <c r="V153" s="44">
        <f>(I153/'Erkrankungs- und Strukturdaten'!$C$28*'Erkrankungs- und Strukturdaten'!$E$30*'Erkrankungs- und Strukturdaten'!$F$30)+(I153/'Erkrankungs- und Strukturdaten'!$C$29*'Erkrankungs- und Strukturdaten'!$G$30)</f>
        <v>2094.3314285714287</v>
      </c>
      <c r="AB153" s="2">
        <f t="shared" si="6"/>
        <v>44388</v>
      </c>
    </row>
    <row r="154" spans="1:28" ht="15" x14ac:dyDescent="0.2">
      <c r="A154" s="42">
        <v>145</v>
      </c>
      <c r="B154" s="370"/>
      <c r="C154" s="28">
        <f t="shared" si="5"/>
        <v>44389</v>
      </c>
      <c r="D154" s="5">
        <f>SUMIF('Fallzahlen (Berechnung)'!D:D,"&lt;="&amp;Prognoseergebnis!C154,'Fallzahlen (Berechnung)'!E:E)-'Fallzahlen (Berechnung)'!$E$1</f>
        <v>893097.39552723384</v>
      </c>
      <c r="E154" s="115" t="e">
        <f>VLOOKUP(C154,'Fallzahlen (Berechnung)'!$D:$E,'Fallzahlen (Berechnung)'!$E$1,FALSE)</f>
        <v>#N/A</v>
      </c>
      <c r="G154" s="18">
        <v>145</v>
      </c>
      <c r="H154" s="5">
        <f>ROUND('Erkrankungs- und Strukturdaten'!$C$8*D154-IF(G154&gt;'Erkrankungs- und Strukturdaten'!$C$14,VLOOKUP(Prognoseergebnis!G154-ROUNDDOWN('Erkrankungs- und Strukturdaten'!$C$14,0),$A:$D,$D$6,FALSE)*'Erkrankungs- und Strukturdaten'!$C$8,0)
+IF(G154&gt;'Erkrankungs- und Strukturdaten'!$C$15,VLOOKUP(Prognoseergebnis!G154-ROUNDDOWN('Erkrankungs- und Strukturdaten'!$C$15,0),A:D,$D$6,FALSE)*'Erkrankungs- und Strukturdaten'!$C$9,0)
-IF(G154&gt;'Erkrankungs- und Strukturdaten'!$C$15+'Erkrankungs- und Strukturdaten'!$C$16,VLOOKUP(Prognoseergebnis!G154-ROUNDDOWN('Erkrankungs- und Strukturdaten'!$C$15-'Erkrankungs- und Strukturdaten'!$C$16,0),A:D,$D$6,FALSE)*'Erkrankungs- und Strukturdaten'!$C$9,0),0)</f>
        <v>-206</v>
      </c>
      <c r="I154" s="5">
        <f>ROUND('Erkrankungs- und Strukturdaten'!$C$9*D154-IF(G154&gt;'Erkrankungs- und Strukturdaten'!$C$15,VLOOKUP(Prognoseergebnis!G154-'Erkrankungs- und Strukturdaten'!$C$15,$A:$D,$D$6,FALSE)*'Erkrankungs- und Strukturdaten'!$C$9,0),0)</f>
        <v>206</v>
      </c>
      <c r="J154" s="5">
        <f>I154*'Erkrankungs- und Strukturdaten'!$C$10/'Erkrankungs- und Strukturdaten'!$C$9</f>
        <v>100.94</v>
      </c>
      <c r="K154" s="5">
        <f>I154*'Erkrankungs- und Strukturdaten'!$C$21</f>
        <v>4120</v>
      </c>
      <c r="L154" s="11"/>
      <c r="M154" s="82">
        <f>SUM($K$66:K154)</f>
        <v>935120</v>
      </c>
      <c r="N154" s="9"/>
      <c r="O154" s="5">
        <f>IF(AND(((H154/'Erkrankungs- und Strukturdaten'!$C$25)*'Erkrankungs- und Strukturdaten'!$E$27)+(H154/'Erkrankungs- und Strukturdaten'!$C$26)&lt;1,((H154/'Erkrankungs- und Strukturdaten'!$C$25)*'Erkrankungs- und Strukturdaten'!$E$27)+(H154/'Erkrankungs- und Strukturdaten'!$C$26)&gt;0),1,((H154/'Erkrankungs- und Strukturdaten'!$C$25)*'Erkrankungs- und Strukturdaten'!$E$27)+(H154/'Erkrankungs- und Strukturdaten'!$C$26))</f>
        <v>-89.26666666666668</v>
      </c>
      <c r="P154" s="5">
        <f>ROUNDUP(((I154/'Erkrankungs- und Strukturdaten'!$C$28)*'Erkrankungs- und Strukturdaten'!$E$30)+(I154/'Erkrankungs- und Strukturdaten'!$C$29),0)</f>
        <v>224</v>
      </c>
      <c r="Q154" s="5">
        <f>ROUNDUP((H154/'Erkrankungs- und Strukturdaten'!$C$34*'Erkrankungs- und Strukturdaten'!$E$36)+(H154/'Erkrankungs- und Strukturdaten'!$C$35),0)</f>
        <v>-15</v>
      </c>
      <c r="R154" s="5">
        <f>ROUNDUP((I154*'Erkrankungs- und Strukturdaten'!$C$40/'Erkrankungs- und Strukturdaten'!$C$38*'Erkrankungs- und Strukturdaten'!$E$39)+(I154*(1-'Erkrankungs- und Strukturdaten'!$C$40)/'Erkrankungs- und Strukturdaten'!$C$37*'Erkrankungs- und Strukturdaten'!$E$39),0)</f>
        <v>29</v>
      </c>
      <c r="S154" s="52"/>
      <c r="U154" s="44">
        <f>((H154/'Erkrankungs- und Strukturdaten'!$C$25)*'Erkrankungs- und Strukturdaten'!$E$27*'Erkrankungs- und Strukturdaten'!$F$27)+(H154/'Erkrankungs- und Strukturdaten'!$C$26*'Erkrankungs- und Strukturdaten'!$G$27)</f>
        <v>-734.73333333333335</v>
      </c>
      <c r="V154" s="44">
        <f>(I154/'Erkrankungs- und Strukturdaten'!$C$28*'Erkrankungs- und Strukturdaten'!$E$30*'Erkrankungs- und Strukturdaten'!$F$30)+(I154/'Erkrankungs- und Strukturdaten'!$C$29*'Erkrankungs- und Strukturdaten'!$G$30)</f>
        <v>1828.1028571428571</v>
      </c>
      <c r="AB154" s="2">
        <f t="shared" si="6"/>
        <v>44389</v>
      </c>
    </row>
    <row r="155" spans="1:28" ht="15" x14ac:dyDescent="0.2">
      <c r="A155" s="42">
        <v>146</v>
      </c>
      <c r="B155" s="370"/>
      <c r="C155" s="27">
        <f t="shared" si="5"/>
        <v>44390</v>
      </c>
      <c r="D155" s="6">
        <f>SUMIF('Fallzahlen (Berechnung)'!D:D,"&lt;="&amp;Prognoseergebnis!C155,'Fallzahlen (Berechnung)'!E:E)-'Fallzahlen (Berechnung)'!$E$1</f>
        <v>893097.39552723384</v>
      </c>
      <c r="E155" s="114" t="e">
        <f>VLOOKUP(C155,'Fallzahlen (Berechnung)'!$D:$E,'Fallzahlen (Berechnung)'!$E$1,FALSE)</f>
        <v>#N/A</v>
      </c>
      <c r="G155" s="18">
        <v>146</v>
      </c>
      <c r="H155" s="6">
        <f>ROUND('Erkrankungs- und Strukturdaten'!$C$8*D155-IF(G155&gt;'Erkrankungs- und Strukturdaten'!$C$14,VLOOKUP(Prognoseergebnis!G155-ROUNDDOWN('Erkrankungs- und Strukturdaten'!$C$14,0),$A:$D,$D$6,FALSE)*'Erkrankungs- und Strukturdaten'!$C$8,0)
+IF(G155&gt;'Erkrankungs- und Strukturdaten'!$C$15,VLOOKUP(Prognoseergebnis!G155-ROUNDDOWN('Erkrankungs- und Strukturdaten'!$C$15,0),A:D,$D$6,FALSE)*'Erkrankungs- und Strukturdaten'!$C$9,0)
-IF(G155&gt;'Erkrankungs- und Strukturdaten'!$C$15+'Erkrankungs- und Strukturdaten'!$C$16,VLOOKUP(Prognoseergebnis!G155-ROUNDDOWN('Erkrankungs- und Strukturdaten'!$C$15-'Erkrankungs- und Strukturdaten'!$C$16,0),A:D,$D$6,FALSE)*'Erkrankungs- und Strukturdaten'!$C$9,0),0)</f>
        <v>-137</v>
      </c>
      <c r="I155" s="6">
        <f>ROUND('Erkrankungs- und Strukturdaten'!$C$9*D155-IF(G155&gt;'Erkrankungs- und Strukturdaten'!$C$15,VLOOKUP(Prognoseergebnis!G155-'Erkrankungs- und Strukturdaten'!$C$15,$A:$D,$D$6,FALSE)*'Erkrankungs- und Strukturdaten'!$C$9,0),0)</f>
        <v>137</v>
      </c>
      <c r="J155" s="6">
        <f>I155*'Erkrankungs- und Strukturdaten'!$C$10/'Erkrankungs- und Strukturdaten'!$C$9</f>
        <v>67.13</v>
      </c>
      <c r="K155" s="6">
        <f>I155*'Erkrankungs- und Strukturdaten'!$C$21</f>
        <v>2740</v>
      </c>
      <c r="L155" s="11"/>
      <c r="M155" s="82">
        <f>SUM($K$66:K155)</f>
        <v>937860</v>
      </c>
      <c r="N155" s="9"/>
      <c r="O155" s="6">
        <f>IF(AND(((H155/'Erkrankungs- und Strukturdaten'!$C$25)*'Erkrankungs- und Strukturdaten'!$E$27)+(H155/'Erkrankungs- und Strukturdaten'!$C$26)&lt;1,((H155/'Erkrankungs- und Strukturdaten'!$C$25)*'Erkrankungs- und Strukturdaten'!$E$27)+(H155/'Erkrankungs- und Strukturdaten'!$C$26)&gt;0),1,((H155/'Erkrankungs- und Strukturdaten'!$C$25)*'Erkrankungs- und Strukturdaten'!$E$27)+(H155/'Erkrankungs- und Strukturdaten'!$C$26))</f>
        <v>-59.36666666666666</v>
      </c>
      <c r="P155" s="6">
        <f>ROUNDUP(((I155/'Erkrankungs- und Strukturdaten'!$C$28)*'Erkrankungs- und Strukturdaten'!$E$30)+(I155/'Erkrankungs- und Strukturdaten'!$C$29),0)</f>
        <v>149</v>
      </c>
      <c r="Q155" s="6">
        <f>ROUNDUP((H155/'Erkrankungs- und Strukturdaten'!$C$34*'Erkrankungs- und Strukturdaten'!$E$36)+(H155/'Erkrankungs- und Strukturdaten'!$C$35),0)</f>
        <v>-10</v>
      </c>
      <c r="R155" s="6">
        <f>ROUNDUP((I155*'Erkrankungs- und Strukturdaten'!$C$40/'Erkrankungs- und Strukturdaten'!$C$38*'Erkrankungs- und Strukturdaten'!$E$39)+(I155*(1-'Erkrankungs- und Strukturdaten'!$C$40)/'Erkrankungs- und Strukturdaten'!$C$37*'Erkrankungs- und Strukturdaten'!$E$39),0)</f>
        <v>19</v>
      </c>
      <c r="S155" s="52"/>
      <c r="U155" s="44">
        <f>((H155/'Erkrankungs- und Strukturdaten'!$C$25)*'Erkrankungs- und Strukturdaten'!$E$27*'Erkrankungs- und Strukturdaten'!$F$27)+(H155/'Erkrankungs- und Strukturdaten'!$C$26*'Erkrankungs- und Strukturdaten'!$G$27)</f>
        <v>-488.63333333333333</v>
      </c>
      <c r="V155" s="44">
        <f>(I155/'Erkrankungs- und Strukturdaten'!$C$28*'Erkrankungs- und Strukturdaten'!$E$30*'Erkrankungs- und Strukturdaten'!$F$30)+(I155/'Erkrankungs- und Strukturdaten'!$C$29*'Erkrankungs- und Strukturdaten'!$G$30)</f>
        <v>1215.7771428571427</v>
      </c>
      <c r="AB155" s="2">
        <f t="shared" si="6"/>
        <v>44390</v>
      </c>
    </row>
    <row r="156" spans="1:28" ht="15" x14ac:dyDescent="0.2">
      <c r="A156" s="42">
        <v>147</v>
      </c>
      <c r="B156" s="370"/>
      <c r="C156" s="29">
        <f t="shared" si="5"/>
        <v>44391</v>
      </c>
      <c r="D156" s="30">
        <f>SUMIF('Fallzahlen (Berechnung)'!D:D,"&lt;="&amp;Prognoseergebnis!C156,'Fallzahlen (Berechnung)'!E:E)-'Fallzahlen (Berechnung)'!$E$1</f>
        <v>893097.39552723384</v>
      </c>
      <c r="E156" s="117" t="e">
        <f>VLOOKUP(C156,'Fallzahlen (Berechnung)'!$D:$E,'Fallzahlen (Berechnung)'!$E$1,FALSE)</f>
        <v>#N/A</v>
      </c>
      <c r="G156" s="18">
        <v>147</v>
      </c>
      <c r="H156" s="30">
        <f>ROUND('Erkrankungs- und Strukturdaten'!$C$8*D156-IF(G156&gt;'Erkrankungs- und Strukturdaten'!$C$14,VLOOKUP(Prognoseergebnis!G156-ROUNDDOWN('Erkrankungs- und Strukturdaten'!$C$14,0),$A:$D,$D$6,FALSE)*'Erkrankungs- und Strukturdaten'!$C$8,0)
+IF(G156&gt;'Erkrankungs- und Strukturdaten'!$C$15,VLOOKUP(Prognoseergebnis!G156-ROUNDDOWN('Erkrankungs- und Strukturdaten'!$C$15,0),A:D,$D$6,FALSE)*'Erkrankungs- und Strukturdaten'!$C$9,0)
-IF(G156&gt;'Erkrankungs- und Strukturdaten'!$C$15+'Erkrankungs- und Strukturdaten'!$C$16,VLOOKUP(Prognoseergebnis!G156-ROUNDDOWN('Erkrankungs- und Strukturdaten'!$C$15-'Erkrankungs- und Strukturdaten'!$C$16,0),A:D,$D$6,FALSE)*'Erkrankungs- und Strukturdaten'!$C$9,0),0)</f>
        <v>-66</v>
      </c>
      <c r="I156" s="30">
        <f>ROUND('Erkrankungs- und Strukturdaten'!$C$9*D156-IF(G156&gt;'Erkrankungs- und Strukturdaten'!$C$15,VLOOKUP(Prognoseergebnis!G156-'Erkrankungs- und Strukturdaten'!$C$15,$A:$D,$D$6,FALSE)*'Erkrankungs- und Strukturdaten'!$C$9,0),0)</f>
        <v>66</v>
      </c>
      <c r="J156" s="30">
        <f>I156*'Erkrankungs- und Strukturdaten'!$C$10/'Erkrankungs- und Strukturdaten'!$C$9</f>
        <v>32.339999999999996</v>
      </c>
      <c r="K156" s="30">
        <f>I156*'Erkrankungs- und Strukturdaten'!$C$21</f>
        <v>1320</v>
      </c>
      <c r="L156" s="11"/>
      <c r="M156" s="82">
        <f>SUM($K$66:K156)</f>
        <v>939180</v>
      </c>
      <c r="N156" s="9"/>
      <c r="O156" s="30">
        <f>IF(AND(((H156/'Erkrankungs- und Strukturdaten'!$C$25)*'Erkrankungs- und Strukturdaten'!$E$27)+(H156/'Erkrankungs- und Strukturdaten'!$C$26)&lt;1,((H156/'Erkrankungs- und Strukturdaten'!$C$25)*'Erkrankungs- und Strukturdaten'!$E$27)+(H156/'Erkrankungs- und Strukturdaten'!$C$26)&gt;0),1,((H156/'Erkrankungs- und Strukturdaten'!$C$25)*'Erkrankungs- und Strukturdaten'!$E$27)+(H156/'Erkrankungs- und Strukturdaten'!$C$26))</f>
        <v>-28.6</v>
      </c>
      <c r="P156" s="30">
        <f>ROUNDUP(((I156/'Erkrankungs- und Strukturdaten'!$C$28)*'Erkrankungs- und Strukturdaten'!$E$30)+(I156/'Erkrankungs- und Strukturdaten'!$C$29),0)</f>
        <v>72</v>
      </c>
      <c r="Q156" s="30">
        <f>ROUNDUP((H156/'Erkrankungs- und Strukturdaten'!$C$34*'Erkrankungs- und Strukturdaten'!$E$36)+(H156/'Erkrankungs- und Strukturdaten'!$C$35),0)</f>
        <v>-5</v>
      </c>
      <c r="R156" s="30">
        <f>ROUNDUP((I156*'Erkrankungs- und Strukturdaten'!$C$40/'Erkrankungs- und Strukturdaten'!$C$38*'Erkrankungs- und Strukturdaten'!$E$39)+(I156*(1-'Erkrankungs- und Strukturdaten'!$C$40)/'Erkrankungs- und Strukturdaten'!$C$37*'Erkrankungs- und Strukturdaten'!$E$39),0)</f>
        <v>10</v>
      </c>
      <c r="S156" s="52"/>
      <c r="U156" s="44">
        <f>((H156/'Erkrankungs- und Strukturdaten'!$C$25)*'Erkrankungs- und Strukturdaten'!$E$27*'Erkrankungs- und Strukturdaten'!$F$27)+(H156/'Erkrankungs- und Strukturdaten'!$C$26*'Erkrankungs- und Strukturdaten'!$G$27)</f>
        <v>-235.4</v>
      </c>
      <c r="V156" s="44">
        <f>(I156/'Erkrankungs- und Strukturdaten'!$C$28*'Erkrankungs- und Strukturdaten'!$E$30*'Erkrankungs- und Strukturdaten'!$F$30)+(I156/'Erkrankungs- und Strukturdaten'!$C$29*'Erkrankungs- und Strukturdaten'!$G$30)</f>
        <v>585.70285714285717</v>
      </c>
      <c r="AB156" s="2">
        <f t="shared" si="6"/>
        <v>44391</v>
      </c>
    </row>
    <row r="157" spans="1:28" ht="15" x14ac:dyDescent="0.2">
      <c r="A157" s="42">
        <v>148</v>
      </c>
      <c r="B157" s="371" t="s">
        <v>205</v>
      </c>
      <c r="C157" s="76">
        <f t="shared" si="5"/>
        <v>44392</v>
      </c>
      <c r="D157" s="77">
        <f>SUMIF('Fallzahlen (Berechnung)'!D:D,"&lt;="&amp;Prognoseergebnis!C157,'Fallzahlen (Berechnung)'!E:E)-'Fallzahlen (Berechnung)'!$E$1</f>
        <v>893097.39552723384</v>
      </c>
      <c r="E157" s="118" t="e">
        <f>VLOOKUP(C157,'Fallzahlen (Berechnung)'!$D:$E,'Fallzahlen (Berechnung)'!$E$1,FALSE)</f>
        <v>#N/A</v>
      </c>
      <c r="G157" s="18">
        <v>148</v>
      </c>
      <c r="H157" s="77">
        <f>ROUND('Erkrankungs- und Strukturdaten'!$C$8*D157-IF(G157&gt;'Erkrankungs- und Strukturdaten'!$C$14,VLOOKUP(Prognoseergebnis!G157-ROUNDDOWN('Erkrankungs- und Strukturdaten'!$C$14,0),$A:$D,$D$6,FALSE)*'Erkrankungs- und Strukturdaten'!$C$8,0)
+IF(G157&gt;'Erkrankungs- und Strukturdaten'!$C$15,VLOOKUP(Prognoseergebnis!G157-ROUNDDOWN('Erkrankungs- und Strukturdaten'!$C$15,0),A:D,$D$6,FALSE)*'Erkrankungs- und Strukturdaten'!$C$9,0)
-IF(G157&gt;'Erkrankungs- und Strukturdaten'!$C$15+'Erkrankungs- und Strukturdaten'!$C$16,VLOOKUP(Prognoseergebnis!G157-ROUNDDOWN('Erkrankungs- und Strukturdaten'!$C$15-'Erkrankungs- und Strukturdaten'!$C$16,0),A:D,$D$6,FALSE)*'Erkrankungs- und Strukturdaten'!$C$9,0),0)</f>
        <v>0</v>
      </c>
      <c r="I157" s="77">
        <f>ROUND('Erkrankungs- und Strukturdaten'!$C$9*D157-IF(G157&gt;'Erkrankungs- und Strukturdaten'!$C$15,VLOOKUP(Prognoseergebnis!G157-'Erkrankungs- und Strukturdaten'!$C$15,$A:$D,$D$6,FALSE)*'Erkrankungs- und Strukturdaten'!$C$9,0),0)</f>
        <v>0</v>
      </c>
      <c r="J157" s="77">
        <f>I157*'Erkrankungs- und Strukturdaten'!$C$10/'Erkrankungs- und Strukturdaten'!$C$9</f>
        <v>0</v>
      </c>
      <c r="K157" s="77">
        <f>I157*'Erkrankungs- und Strukturdaten'!$C$21</f>
        <v>0</v>
      </c>
      <c r="L157" s="11"/>
      <c r="M157" s="82">
        <f>SUM($K$66:K157)</f>
        <v>939180</v>
      </c>
      <c r="N157" s="9"/>
      <c r="O157" s="77">
        <f>IF(AND(((H157/'Erkrankungs- und Strukturdaten'!$C$25)*'Erkrankungs- und Strukturdaten'!$E$27)+(H157/'Erkrankungs- und Strukturdaten'!$C$26)&lt;1,((H157/'Erkrankungs- und Strukturdaten'!$C$25)*'Erkrankungs- und Strukturdaten'!$E$27)+(H157/'Erkrankungs- und Strukturdaten'!$C$26)&gt;0),1,((H157/'Erkrankungs- und Strukturdaten'!$C$25)*'Erkrankungs- und Strukturdaten'!$E$27)+(H157/'Erkrankungs- und Strukturdaten'!$C$26))</f>
        <v>0</v>
      </c>
      <c r="P157" s="77">
        <f>ROUNDUP(((I157/'Erkrankungs- und Strukturdaten'!$C$28)*'Erkrankungs- und Strukturdaten'!$E$30)+(I157/'Erkrankungs- und Strukturdaten'!$C$29),0)</f>
        <v>0</v>
      </c>
      <c r="Q157" s="77">
        <f>ROUNDUP((H157/'Erkrankungs- und Strukturdaten'!$C$34*'Erkrankungs- und Strukturdaten'!$E$36)+(H157/'Erkrankungs- und Strukturdaten'!$C$35),0)</f>
        <v>0</v>
      </c>
      <c r="R157" s="77">
        <f>ROUNDUP((I157*'Erkrankungs- und Strukturdaten'!$C$40/'Erkrankungs- und Strukturdaten'!$C$38*'Erkrankungs- und Strukturdaten'!$E$39)+(I157*(1-'Erkrankungs- und Strukturdaten'!$C$40)/'Erkrankungs- und Strukturdaten'!$C$37*'Erkrankungs- und Strukturdaten'!$E$39),0)</f>
        <v>0</v>
      </c>
      <c r="S157" s="52"/>
      <c r="U157" s="44">
        <f>((H157/'Erkrankungs- und Strukturdaten'!$C$25)*'Erkrankungs- und Strukturdaten'!$E$27*'Erkrankungs- und Strukturdaten'!$F$27)+(H157/'Erkrankungs- und Strukturdaten'!$C$26*'Erkrankungs- und Strukturdaten'!$G$27)</f>
        <v>0</v>
      </c>
      <c r="V157" s="44">
        <f>(I157/'Erkrankungs- und Strukturdaten'!$C$28*'Erkrankungs- und Strukturdaten'!$E$30*'Erkrankungs- und Strukturdaten'!$F$30)+(I157/'Erkrankungs- und Strukturdaten'!$C$29*'Erkrankungs- und Strukturdaten'!$G$30)</f>
        <v>0</v>
      </c>
      <c r="AB157" s="2">
        <f t="shared" si="6"/>
        <v>44392</v>
      </c>
    </row>
    <row r="158" spans="1:28" ht="15" x14ac:dyDescent="0.2">
      <c r="A158" s="42">
        <v>149</v>
      </c>
      <c r="B158" s="371"/>
      <c r="C158" s="28">
        <f t="shared" si="5"/>
        <v>44393</v>
      </c>
      <c r="D158" s="5">
        <f>SUMIF('Fallzahlen (Berechnung)'!D:D,"&lt;="&amp;Prognoseergebnis!C158,'Fallzahlen (Berechnung)'!E:E)-'Fallzahlen (Berechnung)'!$E$1</f>
        <v>893097.39552723384</v>
      </c>
      <c r="E158" s="115" t="e">
        <f>VLOOKUP(C158,'Fallzahlen (Berechnung)'!$D:$E,'Fallzahlen (Berechnung)'!$E$1,FALSE)</f>
        <v>#N/A</v>
      </c>
      <c r="G158" s="18">
        <v>149</v>
      </c>
      <c r="H158" s="5">
        <f>ROUND('Erkrankungs- und Strukturdaten'!$C$8*D158-IF(G158&gt;'Erkrankungs- und Strukturdaten'!$C$14,VLOOKUP(Prognoseergebnis!G158-ROUNDDOWN('Erkrankungs- und Strukturdaten'!$C$14,0),$A:$D,$D$6,FALSE)*'Erkrankungs- und Strukturdaten'!$C$8,0)
+IF(G158&gt;'Erkrankungs- und Strukturdaten'!$C$15,VLOOKUP(Prognoseergebnis!G158-ROUNDDOWN('Erkrankungs- und Strukturdaten'!$C$15,0),A:D,$D$6,FALSE)*'Erkrankungs- und Strukturdaten'!$C$9,0)
-IF(G158&gt;'Erkrankungs- und Strukturdaten'!$C$15+'Erkrankungs- und Strukturdaten'!$C$16,VLOOKUP(Prognoseergebnis!G158-ROUNDDOWN('Erkrankungs- und Strukturdaten'!$C$15-'Erkrankungs- und Strukturdaten'!$C$16,0),A:D,$D$6,FALSE)*'Erkrankungs- und Strukturdaten'!$C$9,0),0)</f>
        <v>0</v>
      </c>
      <c r="I158" s="5">
        <f>ROUND('Erkrankungs- und Strukturdaten'!$C$9*D158-IF(G158&gt;'Erkrankungs- und Strukturdaten'!$C$15,VLOOKUP(Prognoseergebnis!G158-'Erkrankungs- und Strukturdaten'!$C$15,$A:$D,$D$6,FALSE)*'Erkrankungs- und Strukturdaten'!$C$9,0),0)</f>
        <v>0</v>
      </c>
      <c r="J158" s="5">
        <f>I158*'Erkrankungs- und Strukturdaten'!$C$10/'Erkrankungs- und Strukturdaten'!$C$9</f>
        <v>0</v>
      </c>
      <c r="K158" s="5">
        <f>I158*'Erkrankungs- und Strukturdaten'!$C$21</f>
        <v>0</v>
      </c>
      <c r="L158" s="11"/>
      <c r="M158" s="82">
        <f>SUM($K$66:K158)</f>
        <v>939180</v>
      </c>
      <c r="N158" s="9"/>
      <c r="O158" s="5">
        <f>IF(AND(((H158/'Erkrankungs- und Strukturdaten'!$C$25)*'Erkrankungs- und Strukturdaten'!$E$27)+(H158/'Erkrankungs- und Strukturdaten'!$C$26)&lt;1,((H158/'Erkrankungs- und Strukturdaten'!$C$25)*'Erkrankungs- und Strukturdaten'!$E$27)+(H158/'Erkrankungs- und Strukturdaten'!$C$26)&gt;0),1,((H158/'Erkrankungs- und Strukturdaten'!$C$25)*'Erkrankungs- und Strukturdaten'!$E$27)+(H158/'Erkrankungs- und Strukturdaten'!$C$26))</f>
        <v>0</v>
      </c>
      <c r="P158" s="5">
        <f>ROUNDUP(((I158/'Erkrankungs- und Strukturdaten'!$C$28)*'Erkrankungs- und Strukturdaten'!$E$30)+(I158/'Erkrankungs- und Strukturdaten'!$C$29),0)</f>
        <v>0</v>
      </c>
      <c r="Q158" s="5">
        <f>ROUNDUP((H158/'Erkrankungs- und Strukturdaten'!$C$34*'Erkrankungs- und Strukturdaten'!$E$36)+(H158/'Erkrankungs- und Strukturdaten'!$C$35),0)</f>
        <v>0</v>
      </c>
      <c r="R158" s="5">
        <f>ROUNDUP((I158*'Erkrankungs- und Strukturdaten'!$C$40/'Erkrankungs- und Strukturdaten'!$C$38*'Erkrankungs- und Strukturdaten'!$E$39)+(I158*(1-'Erkrankungs- und Strukturdaten'!$C$40)/'Erkrankungs- und Strukturdaten'!$C$37*'Erkrankungs- und Strukturdaten'!$E$39),0)</f>
        <v>0</v>
      </c>
      <c r="S158" s="52"/>
      <c r="U158" s="44">
        <f>((H158/'Erkrankungs- und Strukturdaten'!$C$25)*'Erkrankungs- und Strukturdaten'!$E$27*'Erkrankungs- und Strukturdaten'!$F$27)+(H158/'Erkrankungs- und Strukturdaten'!$C$26*'Erkrankungs- und Strukturdaten'!$G$27)</f>
        <v>0</v>
      </c>
      <c r="V158" s="44">
        <f>(I158/'Erkrankungs- und Strukturdaten'!$C$28*'Erkrankungs- und Strukturdaten'!$E$30*'Erkrankungs- und Strukturdaten'!$F$30)+(I158/'Erkrankungs- und Strukturdaten'!$C$29*'Erkrankungs- und Strukturdaten'!$G$30)</f>
        <v>0</v>
      </c>
      <c r="AB158" s="2">
        <f t="shared" si="6"/>
        <v>44393</v>
      </c>
    </row>
    <row r="159" spans="1:28" ht="15" x14ac:dyDescent="0.2">
      <c r="A159" s="42">
        <v>150</v>
      </c>
      <c r="B159" s="371"/>
      <c r="C159" s="27">
        <f t="shared" si="5"/>
        <v>44394</v>
      </c>
      <c r="D159" s="6">
        <f>SUMIF('Fallzahlen (Berechnung)'!D:D,"&lt;="&amp;Prognoseergebnis!C159,'Fallzahlen (Berechnung)'!E:E)-'Fallzahlen (Berechnung)'!$E$1</f>
        <v>893097.39552723384</v>
      </c>
      <c r="E159" s="114" t="e">
        <f>VLOOKUP(C159,'Fallzahlen (Berechnung)'!$D:$E,'Fallzahlen (Berechnung)'!$E$1,FALSE)</f>
        <v>#N/A</v>
      </c>
      <c r="G159" s="18">
        <v>150</v>
      </c>
      <c r="H159" s="6">
        <f>ROUND('Erkrankungs- und Strukturdaten'!$C$8*D159-IF(G159&gt;'Erkrankungs- und Strukturdaten'!$C$14,VLOOKUP(Prognoseergebnis!G159-ROUNDDOWN('Erkrankungs- und Strukturdaten'!$C$14,0),$A:$D,$D$6,FALSE)*'Erkrankungs- und Strukturdaten'!$C$8,0)
+IF(G159&gt;'Erkrankungs- und Strukturdaten'!$C$15,VLOOKUP(Prognoseergebnis!G159-ROUNDDOWN('Erkrankungs- und Strukturdaten'!$C$15,0),A:D,$D$6,FALSE)*'Erkrankungs- und Strukturdaten'!$C$9,0)
-IF(G159&gt;'Erkrankungs- und Strukturdaten'!$C$15+'Erkrankungs- und Strukturdaten'!$C$16,VLOOKUP(Prognoseergebnis!G159-ROUNDDOWN('Erkrankungs- und Strukturdaten'!$C$15-'Erkrankungs- und Strukturdaten'!$C$16,0),A:D,$D$6,FALSE)*'Erkrankungs- und Strukturdaten'!$C$9,0),0)</f>
        <v>0</v>
      </c>
      <c r="I159" s="6">
        <f>ROUND('Erkrankungs- und Strukturdaten'!$C$9*D159-IF(G159&gt;'Erkrankungs- und Strukturdaten'!$C$15,VLOOKUP(Prognoseergebnis!G159-'Erkrankungs- und Strukturdaten'!$C$15,$A:$D,$D$6,FALSE)*'Erkrankungs- und Strukturdaten'!$C$9,0),0)</f>
        <v>0</v>
      </c>
      <c r="J159" s="6">
        <f>I159*'Erkrankungs- und Strukturdaten'!$C$10/'Erkrankungs- und Strukturdaten'!$C$9</f>
        <v>0</v>
      </c>
      <c r="K159" s="6">
        <f>I159*'Erkrankungs- und Strukturdaten'!$C$21</f>
        <v>0</v>
      </c>
      <c r="L159" s="11"/>
      <c r="M159" s="82">
        <f>SUM($K$66:K159)</f>
        <v>939180</v>
      </c>
      <c r="N159" s="9"/>
      <c r="O159" s="6">
        <f>IF(AND(((H159/'Erkrankungs- und Strukturdaten'!$C$25)*'Erkrankungs- und Strukturdaten'!$E$27)+(H159/'Erkrankungs- und Strukturdaten'!$C$26)&lt;1,((H159/'Erkrankungs- und Strukturdaten'!$C$25)*'Erkrankungs- und Strukturdaten'!$E$27)+(H159/'Erkrankungs- und Strukturdaten'!$C$26)&gt;0),1,((H159/'Erkrankungs- und Strukturdaten'!$C$25)*'Erkrankungs- und Strukturdaten'!$E$27)+(H159/'Erkrankungs- und Strukturdaten'!$C$26))</f>
        <v>0</v>
      </c>
      <c r="P159" s="6">
        <f>ROUNDUP(((I159/'Erkrankungs- und Strukturdaten'!$C$28)*'Erkrankungs- und Strukturdaten'!$E$30)+(I159/'Erkrankungs- und Strukturdaten'!$C$29),0)</f>
        <v>0</v>
      </c>
      <c r="Q159" s="6">
        <f>ROUNDUP((H159/'Erkrankungs- und Strukturdaten'!$C$34*'Erkrankungs- und Strukturdaten'!$E$36)+(H159/'Erkrankungs- und Strukturdaten'!$C$35),0)</f>
        <v>0</v>
      </c>
      <c r="R159" s="6">
        <f>ROUNDUP((I159*'Erkrankungs- und Strukturdaten'!$C$40/'Erkrankungs- und Strukturdaten'!$C$38*'Erkrankungs- und Strukturdaten'!$E$39)+(I159*(1-'Erkrankungs- und Strukturdaten'!$C$40)/'Erkrankungs- und Strukturdaten'!$C$37*'Erkrankungs- und Strukturdaten'!$E$39),0)</f>
        <v>0</v>
      </c>
      <c r="S159" s="52"/>
      <c r="U159" s="44">
        <f>((H159/'Erkrankungs- und Strukturdaten'!$C$25)*'Erkrankungs- und Strukturdaten'!$E$27*'Erkrankungs- und Strukturdaten'!$F$27)+(H159/'Erkrankungs- und Strukturdaten'!$C$26*'Erkrankungs- und Strukturdaten'!$G$27)</f>
        <v>0</v>
      </c>
      <c r="V159" s="44">
        <f>(I159/'Erkrankungs- und Strukturdaten'!$C$28*'Erkrankungs- und Strukturdaten'!$E$30*'Erkrankungs- und Strukturdaten'!$F$30)+(I159/'Erkrankungs- und Strukturdaten'!$C$29*'Erkrankungs- und Strukturdaten'!$G$30)</f>
        <v>0</v>
      </c>
      <c r="AB159" s="2">
        <f t="shared" si="6"/>
        <v>44394</v>
      </c>
    </row>
    <row r="160" spans="1:28" ht="15" x14ac:dyDescent="0.2">
      <c r="A160" s="42">
        <v>151</v>
      </c>
      <c r="B160" s="371"/>
      <c r="C160" s="28">
        <f t="shared" si="5"/>
        <v>44395</v>
      </c>
      <c r="D160" s="5">
        <f>SUMIF('Fallzahlen (Berechnung)'!D:D,"&lt;="&amp;Prognoseergebnis!C160,'Fallzahlen (Berechnung)'!E:E)-'Fallzahlen (Berechnung)'!$E$1</f>
        <v>893097.39552723384</v>
      </c>
      <c r="E160" s="115" t="e">
        <f>VLOOKUP(C160,'Fallzahlen (Berechnung)'!$D:$E,'Fallzahlen (Berechnung)'!$E$1,FALSE)</f>
        <v>#N/A</v>
      </c>
      <c r="G160" s="18">
        <v>151</v>
      </c>
      <c r="H160" s="5">
        <f>ROUND('Erkrankungs- und Strukturdaten'!$C$8*D160-IF(G160&gt;'Erkrankungs- und Strukturdaten'!$C$14,VLOOKUP(Prognoseergebnis!G160-ROUNDDOWN('Erkrankungs- und Strukturdaten'!$C$14,0),$A:$D,$D$6,FALSE)*'Erkrankungs- und Strukturdaten'!$C$8,0)
+IF(G160&gt;'Erkrankungs- und Strukturdaten'!$C$15,VLOOKUP(Prognoseergebnis!G160-ROUNDDOWN('Erkrankungs- und Strukturdaten'!$C$15,0),A:D,$D$6,FALSE)*'Erkrankungs- und Strukturdaten'!$C$9,0)
-IF(G160&gt;'Erkrankungs- und Strukturdaten'!$C$15+'Erkrankungs- und Strukturdaten'!$C$16,VLOOKUP(Prognoseergebnis!G160-ROUNDDOWN('Erkrankungs- und Strukturdaten'!$C$15-'Erkrankungs- und Strukturdaten'!$C$16,0),A:D,$D$6,FALSE)*'Erkrankungs- und Strukturdaten'!$C$9,0),0)</f>
        <v>0</v>
      </c>
      <c r="I160" s="5">
        <f>ROUND('Erkrankungs- und Strukturdaten'!$C$9*D160-IF(G160&gt;'Erkrankungs- und Strukturdaten'!$C$15,VLOOKUP(Prognoseergebnis!G160-'Erkrankungs- und Strukturdaten'!$C$15,$A:$D,$D$6,FALSE)*'Erkrankungs- und Strukturdaten'!$C$9,0),0)</f>
        <v>0</v>
      </c>
      <c r="J160" s="5">
        <f>I160*'Erkrankungs- und Strukturdaten'!$C$10/'Erkrankungs- und Strukturdaten'!$C$9</f>
        <v>0</v>
      </c>
      <c r="K160" s="5">
        <f>I160*'Erkrankungs- und Strukturdaten'!$C$21</f>
        <v>0</v>
      </c>
      <c r="L160" s="11"/>
      <c r="M160" s="82">
        <f>SUM($K$66:K160)</f>
        <v>939180</v>
      </c>
      <c r="N160" s="9"/>
      <c r="O160" s="5">
        <f>IF(AND(((H160/'Erkrankungs- und Strukturdaten'!$C$25)*'Erkrankungs- und Strukturdaten'!$E$27)+(H160/'Erkrankungs- und Strukturdaten'!$C$26)&lt;1,((H160/'Erkrankungs- und Strukturdaten'!$C$25)*'Erkrankungs- und Strukturdaten'!$E$27)+(H160/'Erkrankungs- und Strukturdaten'!$C$26)&gt;0),1,((H160/'Erkrankungs- und Strukturdaten'!$C$25)*'Erkrankungs- und Strukturdaten'!$E$27)+(H160/'Erkrankungs- und Strukturdaten'!$C$26))</f>
        <v>0</v>
      </c>
      <c r="P160" s="5">
        <f>ROUNDUP(((I160/'Erkrankungs- und Strukturdaten'!$C$28)*'Erkrankungs- und Strukturdaten'!$E$30)+(I160/'Erkrankungs- und Strukturdaten'!$C$29),0)</f>
        <v>0</v>
      </c>
      <c r="Q160" s="5">
        <f>ROUNDUP((H160/'Erkrankungs- und Strukturdaten'!$C$34*'Erkrankungs- und Strukturdaten'!$E$36)+(H160/'Erkrankungs- und Strukturdaten'!$C$35),0)</f>
        <v>0</v>
      </c>
      <c r="R160" s="5">
        <f>ROUNDUP((I160*'Erkrankungs- und Strukturdaten'!$C$40/'Erkrankungs- und Strukturdaten'!$C$38*'Erkrankungs- und Strukturdaten'!$E$39)+(I160*(1-'Erkrankungs- und Strukturdaten'!$C$40)/'Erkrankungs- und Strukturdaten'!$C$37*'Erkrankungs- und Strukturdaten'!$E$39),0)</f>
        <v>0</v>
      </c>
      <c r="S160" s="52"/>
      <c r="U160" s="44">
        <f>((H160/'Erkrankungs- und Strukturdaten'!$C$25)*'Erkrankungs- und Strukturdaten'!$E$27*'Erkrankungs- und Strukturdaten'!$F$27)+(H160/'Erkrankungs- und Strukturdaten'!$C$26*'Erkrankungs- und Strukturdaten'!$G$27)</f>
        <v>0</v>
      </c>
      <c r="V160" s="44">
        <f>(I160/'Erkrankungs- und Strukturdaten'!$C$28*'Erkrankungs- und Strukturdaten'!$E$30*'Erkrankungs- und Strukturdaten'!$F$30)+(I160/'Erkrankungs- und Strukturdaten'!$C$29*'Erkrankungs- und Strukturdaten'!$G$30)</f>
        <v>0</v>
      </c>
      <c r="AB160" s="2">
        <f t="shared" si="6"/>
        <v>44395</v>
      </c>
    </row>
    <row r="161" spans="1:28" ht="15" x14ac:dyDescent="0.2">
      <c r="A161" s="42">
        <v>152</v>
      </c>
      <c r="B161" s="371"/>
      <c r="C161" s="27">
        <f t="shared" si="5"/>
        <v>44396</v>
      </c>
      <c r="D161" s="6">
        <f>SUMIF('Fallzahlen (Berechnung)'!D:D,"&lt;="&amp;Prognoseergebnis!C161,'Fallzahlen (Berechnung)'!E:E)-'Fallzahlen (Berechnung)'!$E$1</f>
        <v>893097.39552723384</v>
      </c>
      <c r="E161" s="114" t="e">
        <f>VLOOKUP(C161,'Fallzahlen (Berechnung)'!$D:$E,'Fallzahlen (Berechnung)'!$E$1,FALSE)</f>
        <v>#N/A</v>
      </c>
      <c r="G161" s="18">
        <v>152</v>
      </c>
      <c r="H161" s="6">
        <f>ROUND('Erkrankungs- und Strukturdaten'!$C$8*D161-IF(G161&gt;'Erkrankungs- und Strukturdaten'!$C$14,VLOOKUP(Prognoseergebnis!G161-ROUNDDOWN('Erkrankungs- und Strukturdaten'!$C$14,0),$A:$D,$D$6,FALSE)*'Erkrankungs- und Strukturdaten'!$C$8,0)
+IF(G161&gt;'Erkrankungs- und Strukturdaten'!$C$15,VLOOKUP(Prognoseergebnis!G161-ROUNDDOWN('Erkrankungs- und Strukturdaten'!$C$15,0),A:D,$D$6,FALSE)*'Erkrankungs- und Strukturdaten'!$C$9,0)
-IF(G161&gt;'Erkrankungs- und Strukturdaten'!$C$15+'Erkrankungs- und Strukturdaten'!$C$16,VLOOKUP(Prognoseergebnis!G161-ROUNDDOWN('Erkrankungs- und Strukturdaten'!$C$15-'Erkrankungs- und Strukturdaten'!$C$16,0),A:D,$D$6,FALSE)*'Erkrankungs- und Strukturdaten'!$C$9,0),0)</f>
        <v>0</v>
      </c>
      <c r="I161" s="6">
        <f>ROUND('Erkrankungs- und Strukturdaten'!$C$9*D161-IF(G161&gt;'Erkrankungs- und Strukturdaten'!$C$15,VLOOKUP(Prognoseergebnis!G161-'Erkrankungs- und Strukturdaten'!$C$15,$A:$D,$D$6,FALSE)*'Erkrankungs- und Strukturdaten'!$C$9,0),0)</f>
        <v>0</v>
      </c>
      <c r="J161" s="6">
        <f>I161*'Erkrankungs- und Strukturdaten'!$C$10/'Erkrankungs- und Strukturdaten'!$C$9</f>
        <v>0</v>
      </c>
      <c r="K161" s="6">
        <f>I161*'Erkrankungs- und Strukturdaten'!$C$21</f>
        <v>0</v>
      </c>
      <c r="L161" s="11"/>
      <c r="M161" s="82">
        <f>SUM($K$66:K161)</f>
        <v>939180</v>
      </c>
      <c r="N161" s="9"/>
      <c r="O161" s="6">
        <f>IF(AND(((H161/'Erkrankungs- und Strukturdaten'!$C$25)*'Erkrankungs- und Strukturdaten'!$E$27)+(H161/'Erkrankungs- und Strukturdaten'!$C$26)&lt;1,((H161/'Erkrankungs- und Strukturdaten'!$C$25)*'Erkrankungs- und Strukturdaten'!$E$27)+(H161/'Erkrankungs- und Strukturdaten'!$C$26)&gt;0),1,((H161/'Erkrankungs- und Strukturdaten'!$C$25)*'Erkrankungs- und Strukturdaten'!$E$27)+(H161/'Erkrankungs- und Strukturdaten'!$C$26))</f>
        <v>0</v>
      </c>
      <c r="P161" s="6">
        <f>ROUNDUP(((I161/'Erkrankungs- und Strukturdaten'!$C$28)*'Erkrankungs- und Strukturdaten'!$E$30)+(I161/'Erkrankungs- und Strukturdaten'!$C$29),0)</f>
        <v>0</v>
      </c>
      <c r="Q161" s="6">
        <f>ROUNDUP((H161/'Erkrankungs- und Strukturdaten'!$C$34*'Erkrankungs- und Strukturdaten'!$E$36)+(H161/'Erkrankungs- und Strukturdaten'!$C$35),0)</f>
        <v>0</v>
      </c>
      <c r="R161" s="6">
        <f>ROUNDUP((I161*'Erkrankungs- und Strukturdaten'!$C$40/'Erkrankungs- und Strukturdaten'!$C$38*'Erkrankungs- und Strukturdaten'!$E$39)+(I161*(1-'Erkrankungs- und Strukturdaten'!$C$40)/'Erkrankungs- und Strukturdaten'!$C$37*'Erkrankungs- und Strukturdaten'!$E$39),0)</f>
        <v>0</v>
      </c>
      <c r="S161" s="52"/>
      <c r="U161" s="44">
        <f>((H161/'Erkrankungs- und Strukturdaten'!$C$25)*'Erkrankungs- und Strukturdaten'!$E$27*'Erkrankungs- und Strukturdaten'!$F$27)+(H161/'Erkrankungs- und Strukturdaten'!$C$26*'Erkrankungs- und Strukturdaten'!$G$27)</f>
        <v>0</v>
      </c>
      <c r="V161" s="44">
        <f>(I161/'Erkrankungs- und Strukturdaten'!$C$28*'Erkrankungs- und Strukturdaten'!$E$30*'Erkrankungs- und Strukturdaten'!$F$30)+(I161/'Erkrankungs- und Strukturdaten'!$C$29*'Erkrankungs- und Strukturdaten'!$G$30)</f>
        <v>0</v>
      </c>
      <c r="AB161" s="2">
        <f t="shared" si="6"/>
        <v>44396</v>
      </c>
    </row>
    <row r="162" spans="1:28" ht="15" x14ac:dyDescent="0.2">
      <c r="A162" s="42">
        <v>153</v>
      </c>
      <c r="B162" s="371"/>
      <c r="C162" s="28">
        <f t="shared" si="5"/>
        <v>44397</v>
      </c>
      <c r="D162" s="5">
        <f>SUMIF('Fallzahlen (Berechnung)'!D:D,"&lt;="&amp;Prognoseergebnis!C162,'Fallzahlen (Berechnung)'!E:E)-'Fallzahlen (Berechnung)'!$E$1</f>
        <v>893097.39552723384</v>
      </c>
      <c r="E162" s="115" t="e">
        <f>VLOOKUP(C162,'Fallzahlen (Berechnung)'!$D:$E,'Fallzahlen (Berechnung)'!$E$1,FALSE)</f>
        <v>#N/A</v>
      </c>
      <c r="G162" s="18">
        <v>153</v>
      </c>
      <c r="H162" s="5">
        <f>ROUND('Erkrankungs- und Strukturdaten'!$C$8*D162-IF(G162&gt;'Erkrankungs- und Strukturdaten'!$C$14,VLOOKUP(Prognoseergebnis!G162-ROUNDDOWN('Erkrankungs- und Strukturdaten'!$C$14,0),$A:$D,$D$6,FALSE)*'Erkrankungs- und Strukturdaten'!$C$8,0)
+IF(G162&gt;'Erkrankungs- und Strukturdaten'!$C$15,VLOOKUP(Prognoseergebnis!G162-ROUNDDOWN('Erkrankungs- und Strukturdaten'!$C$15,0),A:D,$D$6,FALSE)*'Erkrankungs- und Strukturdaten'!$C$9,0)
-IF(G162&gt;'Erkrankungs- und Strukturdaten'!$C$15+'Erkrankungs- und Strukturdaten'!$C$16,VLOOKUP(Prognoseergebnis!G162-ROUNDDOWN('Erkrankungs- und Strukturdaten'!$C$15-'Erkrankungs- und Strukturdaten'!$C$16,0),A:D,$D$6,FALSE)*'Erkrankungs- und Strukturdaten'!$C$9,0),0)</f>
        <v>0</v>
      </c>
      <c r="I162" s="5">
        <f>ROUND('Erkrankungs- und Strukturdaten'!$C$9*D162-IF(G162&gt;'Erkrankungs- und Strukturdaten'!$C$15,VLOOKUP(Prognoseergebnis!G162-'Erkrankungs- und Strukturdaten'!$C$15,$A:$D,$D$6,FALSE)*'Erkrankungs- und Strukturdaten'!$C$9,0),0)</f>
        <v>0</v>
      </c>
      <c r="J162" s="5">
        <f>I162*'Erkrankungs- und Strukturdaten'!$C$10/'Erkrankungs- und Strukturdaten'!$C$9</f>
        <v>0</v>
      </c>
      <c r="K162" s="5">
        <f>I162*'Erkrankungs- und Strukturdaten'!$C$21</f>
        <v>0</v>
      </c>
      <c r="L162" s="11"/>
      <c r="M162" s="82">
        <f>SUM($K$66:K162)</f>
        <v>939180</v>
      </c>
      <c r="N162" s="9"/>
      <c r="O162" s="5">
        <f>IF(AND(((H162/'Erkrankungs- und Strukturdaten'!$C$25)*'Erkrankungs- und Strukturdaten'!$E$27)+(H162/'Erkrankungs- und Strukturdaten'!$C$26)&lt;1,((H162/'Erkrankungs- und Strukturdaten'!$C$25)*'Erkrankungs- und Strukturdaten'!$E$27)+(H162/'Erkrankungs- und Strukturdaten'!$C$26)&gt;0),1,((H162/'Erkrankungs- und Strukturdaten'!$C$25)*'Erkrankungs- und Strukturdaten'!$E$27)+(H162/'Erkrankungs- und Strukturdaten'!$C$26))</f>
        <v>0</v>
      </c>
      <c r="P162" s="5">
        <f>ROUNDUP(((I162/'Erkrankungs- und Strukturdaten'!$C$28)*'Erkrankungs- und Strukturdaten'!$E$30)+(I162/'Erkrankungs- und Strukturdaten'!$C$29),0)</f>
        <v>0</v>
      </c>
      <c r="Q162" s="5">
        <f>ROUNDUP((H162/'Erkrankungs- und Strukturdaten'!$C$34*'Erkrankungs- und Strukturdaten'!$E$36)+(H162/'Erkrankungs- und Strukturdaten'!$C$35),0)</f>
        <v>0</v>
      </c>
      <c r="R162" s="5">
        <f>ROUNDUP((I162*'Erkrankungs- und Strukturdaten'!$C$40/'Erkrankungs- und Strukturdaten'!$C$38*'Erkrankungs- und Strukturdaten'!$E$39)+(I162*(1-'Erkrankungs- und Strukturdaten'!$C$40)/'Erkrankungs- und Strukturdaten'!$C$37*'Erkrankungs- und Strukturdaten'!$E$39),0)</f>
        <v>0</v>
      </c>
      <c r="S162" s="52"/>
      <c r="U162" s="44">
        <f>((H162/'Erkrankungs- und Strukturdaten'!$C$25)*'Erkrankungs- und Strukturdaten'!$E$27*'Erkrankungs- und Strukturdaten'!$F$27)+(H162/'Erkrankungs- und Strukturdaten'!$C$26*'Erkrankungs- und Strukturdaten'!$G$27)</f>
        <v>0</v>
      </c>
      <c r="V162" s="44">
        <f>(I162/'Erkrankungs- und Strukturdaten'!$C$28*'Erkrankungs- und Strukturdaten'!$E$30*'Erkrankungs- und Strukturdaten'!$F$30)+(I162/'Erkrankungs- und Strukturdaten'!$C$29*'Erkrankungs- und Strukturdaten'!$G$30)</f>
        <v>0</v>
      </c>
      <c r="AB162" s="2">
        <f t="shared" si="6"/>
        <v>44397</v>
      </c>
    </row>
    <row r="163" spans="1:28" ht="15" x14ac:dyDescent="0.2">
      <c r="A163" s="42">
        <v>154</v>
      </c>
      <c r="B163" s="371"/>
      <c r="C163" s="73">
        <f t="shared" si="5"/>
        <v>44398</v>
      </c>
      <c r="D163" s="74">
        <f>SUMIF('Fallzahlen (Berechnung)'!D:D,"&lt;="&amp;Prognoseergebnis!C163,'Fallzahlen (Berechnung)'!E:E)-'Fallzahlen (Berechnung)'!$E$1</f>
        <v>893097.39552723384</v>
      </c>
      <c r="E163" s="119" t="e">
        <f>VLOOKUP(C163,'Fallzahlen (Berechnung)'!$D:$E,'Fallzahlen (Berechnung)'!$E$1,FALSE)</f>
        <v>#N/A</v>
      </c>
      <c r="G163" s="18">
        <v>154</v>
      </c>
      <c r="H163" s="74">
        <f>ROUND('Erkrankungs- und Strukturdaten'!$C$8*D163-IF(G163&gt;'Erkrankungs- und Strukturdaten'!$C$14,VLOOKUP(Prognoseergebnis!G163-ROUNDDOWN('Erkrankungs- und Strukturdaten'!$C$14,0),$A:$D,$D$6,FALSE)*'Erkrankungs- und Strukturdaten'!$C$8,0)
+IF(G163&gt;'Erkrankungs- und Strukturdaten'!$C$15,VLOOKUP(Prognoseergebnis!G163-ROUNDDOWN('Erkrankungs- und Strukturdaten'!$C$15,0),A:D,$D$6,FALSE)*'Erkrankungs- und Strukturdaten'!$C$9,0)
-IF(G163&gt;'Erkrankungs- und Strukturdaten'!$C$15+'Erkrankungs- und Strukturdaten'!$C$16,VLOOKUP(Prognoseergebnis!G163-ROUNDDOWN('Erkrankungs- und Strukturdaten'!$C$15-'Erkrankungs- und Strukturdaten'!$C$16,0),A:D,$D$6,FALSE)*'Erkrankungs- und Strukturdaten'!$C$9,0),0)</f>
        <v>0</v>
      </c>
      <c r="I163" s="74">
        <f>ROUND('Erkrankungs- und Strukturdaten'!$C$9*D163-IF(G163&gt;'Erkrankungs- und Strukturdaten'!$C$15,VLOOKUP(Prognoseergebnis!G163-'Erkrankungs- und Strukturdaten'!$C$15,$A:$D,$D$6,FALSE)*'Erkrankungs- und Strukturdaten'!$C$9,0),0)</f>
        <v>0</v>
      </c>
      <c r="J163" s="74">
        <f>I163*'Erkrankungs- und Strukturdaten'!$C$10/'Erkrankungs- und Strukturdaten'!$C$9</f>
        <v>0</v>
      </c>
      <c r="K163" s="74">
        <f>I163*'Erkrankungs- und Strukturdaten'!$C$21</f>
        <v>0</v>
      </c>
      <c r="L163" s="11"/>
      <c r="M163" s="82">
        <f>SUM($K$66:K163)</f>
        <v>939180</v>
      </c>
      <c r="N163" s="9"/>
      <c r="O163" s="74">
        <f>IF(AND(((H163/'Erkrankungs- und Strukturdaten'!$C$25)*'Erkrankungs- und Strukturdaten'!$E$27)+(H163/'Erkrankungs- und Strukturdaten'!$C$26)&lt;1,((H163/'Erkrankungs- und Strukturdaten'!$C$25)*'Erkrankungs- und Strukturdaten'!$E$27)+(H163/'Erkrankungs- und Strukturdaten'!$C$26)&gt;0),1,((H163/'Erkrankungs- und Strukturdaten'!$C$25)*'Erkrankungs- und Strukturdaten'!$E$27)+(H163/'Erkrankungs- und Strukturdaten'!$C$26))</f>
        <v>0</v>
      </c>
      <c r="P163" s="74">
        <f>ROUNDUP(((I163/'Erkrankungs- und Strukturdaten'!$C$28)*'Erkrankungs- und Strukturdaten'!$E$30)+(I163/'Erkrankungs- und Strukturdaten'!$C$29),0)</f>
        <v>0</v>
      </c>
      <c r="Q163" s="74">
        <f>ROUNDUP((H163/'Erkrankungs- und Strukturdaten'!$C$34*'Erkrankungs- und Strukturdaten'!$E$36)+(H163/'Erkrankungs- und Strukturdaten'!$C$35),0)</f>
        <v>0</v>
      </c>
      <c r="R163" s="74">
        <f>ROUNDUP((I163*'Erkrankungs- und Strukturdaten'!$C$40/'Erkrankungs- und Strukturdaten'!$C$38*'Erkrankungs- und Strukturdaten'!$E$39)+(I163*(1-'Erkrankungs- und Strukturdaten'!$C$40)/'Erkrankungs- und Strukturdaten'!$C$37*'Erkrankungs- und Strukturdaten'!$E$39),0)</f>
        <v>0</v>
      </c>
      <c r="S163" s="52"/>
      <c r="U163" s="44">
        <f>((H163/'Erkrankungs- und Strukturdaten'!$C$25)*'Erkrankungs- und Strukturdaten'!$E$27*'Erkrankungs- und Strukturdaten'!$F$27)+(H163/'Erkrankungs- und Strukturdaten'!$C$26*'Erkrankungs- und Strukturdaten'!$G$27)</f>
        <v>0</v>
      </c>
      <c r="V163" s="44">
        <f>(I163/'Erkrankungs- und Strukturdaten'!$C$28*'Erkrankungs- und Strukturdaten'!$E$30*'Erkrankungs- und Strukturdaten'!$F$30)+(I163/'Erkrankungs- und Strukturdaten'!$C$29*'Erkrankungs- und Strukturdaten'!$G$30)</f>
        <v>0</v>
      </c>
      <c r="AB163" s="2">
        <f t="shared" si="6"/>
        <v>44398</v>
      </c>
    </row>
    <row r="164" spans="1:28" ht="15" x14ac:dyDescent="0.2">
      <c r="A164" s="42">
        <v>155</v>
      </c>
      <c r="B164" s="370" t="s">
        <v>206</v>
      </c>
      <c r="C164" s="78">
        <f t="shared" si="5"/>
        <v>44399</v>
      </c>
      <c r="D164" s="4">
        <f>SUMIF('Fallzahlen (Berechnung)'!D:D,"&lt;="&amp;Prognoseergebnis!C164,'Fallzahlen (Berechnung)'!E:E)-'Fallzahlen (Berechnung)'!$E$1</f>
        <v>893097.39552723384</v>
      </c>
      <c r="E164" s="116" t="e">
        <f>VLOOKUP(C164,'Fallzahlen (Berechnung)'!$D:$E,'Fallzahlen (Berechnung)'!$E$1,FALSE)</f>
        <v>#N/A</v>
      </c>
      <c r="G164" s="18">
        <v>155</v>
      </c>
      <c r="H164" s="4">
        <f>ROUND('Erkrankungs- und Strukturdaten'!$C$8*D164-IF(G164&gt;'Erkrankungs- und Strukturdaten'!$C$14,VLOOKUP(Prognoseergebnis!G164-ROUNDDOWN('Erkrankungs- und Strukturdaten'!$C$14,0),$A:$D,$D$6,FALSE)*'Erkrankungs- und Strukturdaten'!$C$8,0)
+IF(G164&gt;'Erkrankungs- und Strukturdaten'!$C$15,VLOOKUP(Prognoseergebnis!G164-ROUNDDOWN('Erkrankungs- und Strukturdaten'!$C$15,0),A:D,$D$6,FALSE)*'Erkrankungs- und Strukturdaten'!$C$9,0)
-IF(G164&gt;'Erkrankungs- und Strukturdaten'!$C$15+'Erkrankungs- und Strukturdaten'!$C$16,VLOOKUP(Prognoseergebnis!G164-ROUNDDOWN('Erkrankungs- und Strukturdaten'!$C$15-'Erkrankungs- und Strukturdaten'!$C$16,0),A:D,$D$6,FALSE)*'Erkrankungs- und Strukturdaten'!$C$9,0),0)</f>
        <v>0</v>
      </c>
      <c r="I164" s="4">
        <f>ROUND('Erkrankungs- und Strukturdaten'!$C$9*D164-IF(G164&gt;'Erkrankungs- und Strukturdaten'!$C$15,VLOOKUP(Prognoseergebnis!G164-'Erkrankungs- und Strukturdaten'!$C$15,$A:$D,$D$6,FALSE)*'Erkrankungs- und Strukturdaten'!$C$9,0),0)</f>
        <v>0</v>
      </c>
      <c r="J164" s="4">
        <f>I164*'Erkrankungs- und Strukturdaten'!$C$10/'Erkrankungs- und Strukturdaten'!$C$9</f>
        <v>0</v>
      </c>
      <c r="K164" s="4">
        <f>I164*'Erkrankungs- und Strukturdaten'!$C$21</f>
        <v>0</v>
      </c>
      <c r="L164" s="11"/>
      <c r="M164" s="82">
        <f>SUM($K$66:K164)</f>
        <v>939180</v>
      </c>
      <c r="N164" s="9"/>
      <c r="O164" s="4">
        <f>IF(AND(((H164/'Erkrankungs- und Strukturdaten'!$C$25)*'Erkrankungs- und Strukturdaten'!$E$27)+(H164/'Erkrankungs- und Strukturdaten'!$C$26)&lt;1,((H164/'Erkrankungs- und Strukturdaten'!$C$25)*'Erkrankungs- und Strukturdaten'!$E$27)+(H164/'Erkrankungs- und Strukturdaten'!$C$26)&gt;0),1,((H164/'Erkrankungs- und Strukturdaten'!$C$25)*'Erkrankungs- und Strukturdaten'!$E$27)+(H164/'Erkrankungs- und Strukturdaten'!$C$26))</f>
        <v>0</v>
      </c>
      <c r="P164" s="4">
        <f>ROUNDUP(((I164/'Erkrankungs- und Strukturdaten'!$C$28)*'Erkrankungs- und Strukturdaten'!$E$30)+(I164/'Erkrankungs- und Strukturdaten'!$C$29),0)</f>
        <v>0</v>
      </c>
      <c r="Q164" s="4">
        <f>ROUNDUP((H164/'Erkrankungs- und Strukturdaten'!$C$34*'Erkrankungs- und Strukturdaten'!$E$36)+(H164/'Erkrankungs- und Strukturdaten'!$C$35),0)</f>
        <v>0</v>
      </c>
      <c r="R164" s="4">
        <f>ROUNDUP((I164*'Erkrankungs- und Strukturdaten'!$C$40/'Erkrankungs- und Strukturdaten'!$C$38*'Erkrankungs- und Strukturdaten'!$E$39)+(I164*(1-'Erkrankungs- und Strukturdaten'!$C$40)/'Erkrankungs- und Strukturdaten'!$C$37*'Erkrankungs- und Strukturdaten'!$E$39),0)</f>
        <v>0</v>
      </c>
      <c r="S164" s="52"/>
      <c r="U164" s="44">
        <f>((H164/'Erkrankungs- und Strukturdaten'!$C$25)*'Erkrankungs- und Strukturdaten'!$E$27*'Erkrankungs- und Strukturdaten'!$F$27)+(H164/'Erkrankungs- und Strukturdaten'!$C$26*'Erkrankungs- und Strukturdaten'!$G$27)</f>
        <v>0</v>
      </c>
      <c r="V164" s="44">
        <f>(I164/'Erkrankungs- und Strukturdaten'!$C$28*'Erkrankungs- und Strukturdaten'!$E$30*'Erkrankungs- und Strukturdaten'!$F$30)+(I164/'Erkrankungs- und Strukturdaten'!$C$29*'Erkrankungs- und Strukturdaten'!$G$30)</f>
        <v>0</v>
      </c>
      <c r="AB164" s="2">
        <f t="shared" ref="AB164:AB170" si="7">C164</f>
        <v>44399</v>
      </c>
    </row>
    <row r="165" spans="1:28" ht="15" x14ac:dyDescent="0.2">
      <c r="A165" s="42">
        <v>156</v>
      </c>
      <c r="B165" s="370"/>
      <c r="C165" s="27">
        <f t="shared" si="5"/>
        <v>44400</v>
      </c>
      <c r="D165" s="6">
        <f>SUMIF('Fallzahlen (Berechnung)'!D:D,"&lt;="&amp;Prognoseergebnis!C165,'Fallzahlen (Berechnung)'!E:E)-'Fallzahlen (Berechnung)'!$E$1</f>
        <v>893097.39552723384</v>
      </c>
      <c r="E165" s="114" t="e">
        <f>VLOOKUP(C165,'Fallzahlen (Berechnung)'!$D:$E,'Fallzahlen (Berechnung)'!$E$1,FALSE)</f>
        <v>#N/A</v>
      </c>
      <c r="G165" s="18">
        <v>156</v>
      </c>
      <c r="H165" s="6">
        <f>ROUND('Erkrankungs- und Strukturdaten'!$C$8*D165-IF(G165&gt;'Erkrankungs- und Strukturdaten'!$C$14,VLOOKUP(Prognoseergebnis!G165-ROUNDDOWN('Erkrankungs- und Strukturdaten'!$C$14,0),$A:$D,$D$6,FALSE)*'Erkrankungs- und Strukturdaten'!$C$8,0)
+IF(G165&gt;'Erkrankungs- und Strukturdaten'!$C$15,VLOOKUP(Prognoseergebnis!G165-ROUNDDOWN('Erkrankungs- und Strukturdaten'!$C$15,0),A:D,$D$6,FALSE)*'Erkrankungs- und Strukturdaten'!$C$9,0)
-IF(G165&gt;'Erkrankungs- und Strukturdaten'!$C$15+'Erkrankungs- und Strukturdaten'!$C$16,VLOOKUP(Prognoseergebnis!G165-ROUNDDOWN('Erkrankungs- und Strukturdaten'!$C$15-'Erkrankungs- und Strukturdaten'!$C$16,0),A:D,$D$6,FALSE)*'Erkrankungs- und Strukturdaten'!$C$9,0),0)</f>
        <v>0</v>
      </c>
      <c r="I165" s="6">
        <f>ROUND('Erkrankungs- und Strukturdaten'!$C$9*D165-IF(G165&gt;'Erkrankungs- und Strukturdaten'!$C$15,VLOOKUP(Prognoseergebnis!G165-'Erkrankungs- und Strukturdaten'!$C$15,$A:$D,$D$6,FALSE)*'Erkrankungs- und Strukturdaten'!$C$9,0),0)</f>
        <v>0</v>
      </c>
      <c r="J165" s="6">
        <f>I165*'Erkrankungs- und Strukturdaten'!$C$10/'Erkrankungs- und Strukturdaten'!$C$9</f>
        <v>0</v>
      </c>
      <c r="K165" s="6">
        <f>I165*'Erkrankungs- und Strukturdaten'!$C$21</f>
        <v>0</v>
      </c>
      <c r="L165" s="11"/>
      <c r="M165" s="82">
        <f>SUM($K$66:K165)</f>
        <v>939180</v>
      </c>
      <c r="N165" s="9"/>
      <c r="O165" s="6">
        <f>IF(AND(((H165/'Erkrankungs- und Strukturdaten'!$C$25)*'Erkrankungs- und Strukturdaten'!$E$27)+(H165/'Erkrankungs- und Strukturdaten'!$C$26)&lt;1,((H165/'Erkrankungs- und Strukturdaten'!$C$25)*'Erkrankungs- und Strukturdaten'!$E$27)+(H165/'Erkrankungs- und Strukturdaten'!$C$26)&gt;0),1,((H165/'Erkrankungs- und Strukturdaten'!$C$25)*'Erkrankungs- und Strukturdaten'!$E$27)+(H165/'Erkrankungs- und Strukturdaten'!$C$26))</f>
        <v>0</v>
      </c>
      <c r="P165" s="6">
        <f>ROUNDUP(((I165/'Erkrankungs- und Strukturdaten'!$C$28)*'Erkrankungs- und Strukturdaten'!$E$30)+(I165/'Erkrankungs- und Strukturdaten'!$C$29),0)</f>
        <v>0</v>
      </c>
      <c r="Q165" s="6">
        <f>ROUNDUP((H165/'Erkrankungs- und Strukturdaten'!$C$34*'Erkrankungs- und Strukturdaten'!$E$36)+(H165/'Erkrankungs- und Strukturdaten'!$C$35),0)</f>
        <v>0</v>
      </c>
      <c r="R165" s="6">
        <f>ROUNDUP((I165*'Erkrankungs- und Strukturdaten'!$C$40/'Erkrankungs- und Strukturdaten'!$C$38*'Erkrankungs- und Strukturdaten'!$E$39)+(I165*(1-'Erkrankungs- und Strukturdaten'!$C$40)/'Erkrankungs- und Strukturdaten'!$C$37*'Erkrankungs- und Strukturdaten'!$E$39),0)</f>
        <v>0</v>
      </c>
      <c r="S165" s="52"/>
      <c r="U165" s="44">
        <f>((H165/'Erkrankungs- und Strukturdaten'!$C$25)*'Erkrankungs- und Strukturdaten'!$E$27*'Erkrankungs- und Strukturdaten'!$F$27)+(H165/'Erkrankungs- und Strukturdaten'!$C$26*'Erkrankungs- und Strukturdaten'!$G$27)</f>
        <v>0</v>
      </c>
      <c r="V165" s="44">
        <f>(I165/'Erkrankungs- und Strukturdaten'!$C$28*'Erkrankungs- und Strukturdaten'!$E$30*'Erkrankungs- und Strukturdaten'!$F$30)+(I165/'Erkrankungs- und Strukturdaten'!$C$29*'Erkrankungs- und Strukturdaten'!$G$30)</f>
        <v>0</v>
      </c>
      <c r="AB165" s="2">
        <f t="shared" si="7"/>
        <v>44400</v>
      </c>
    </row>
    <row r="166" spans="1:28" ht="15" x14ac:dyDescent="0.2">
      <c r="A166" s="42">
        <v>157</v>
      </c>
      <c r="B166" s="370"/>
      <c r="C166" s="28">
        <f t="shared" si="5"/>
        <v>44401</v>
      </c>
      <c r="D166" s="5">
        <f>SUMIF('Fallzahlen (Berechnung)'!D:D,"&lt;="&amp;Prognoseergebnis!C166,'Fallzahlen (Berechnung)'!E:E)-'Fallzahlen (Berechnung)'!$E$1</f>
        <v>893097.39552723384</v>
      </c>
      <c r="E166" s="115" t="e">
        <f>VLOOKUP(C166,'Fallzahlen (Berechnung)'!$D:$E,'Fallzahlen (Berechnung)'!$E$1,FALSE)</f>
        <v>#N/A</v>
      </c>
      <c r="G166" s="18">
        <v>157</v>
      </c>
      <c r="H166" s="5">
        <f>ROUND('Erkrankungs- und Strukturdaten'!$C$8*D166-IF(G166&gt;'Erkrankungs- und Strukturdaten'!$C$14,VLOOKUP(Prognoseergebnis!G166-ROUNDDOWN('Erkrankungs- und Strukturdaten'!$C$14,0),$A:$D,$D$6,FALSE)*'Erkrankungs- und Strukturdaten'!$C$8,0)
+IF(G166&gt;'Erkrankungs- und Strukturdaten'!$C$15,VLOOKUP(Prognoseergebnis!G166-ROUNDDOWN('Erkrankungs- und Strukturdaten'!$C$15,0),A:D,$D$6,FALSE)*'Erkrankungs- und Strukturdaten'!$C$9,0)
-IF(G166&gt;'Erkrankungs- und Strukturdaten'!$C$15+'Erkrankungs- und Strukturdaten'!$C$16,VLOOKUP(Prognoseergebnis!G166-ROUNDDOWN('Erkrankungs- und Strukturdaten'!$C$15-'Erkrankungs- und Strukturdaten'!$C$16,0),A:D,$D$6,FALSE)*'Erkrankungs- und Strukturdaten'!$C$9,0),0)</f>
        <v>0</v>
      </c>
      <c r="I166" s="5">
        <f>ROUND('Erkrankungs- und Strukturdaten'!$C$9*D166-IF(G166&gt;'Erkrankungs- und Strukturdaten'!$C$15,VLOOKUP(Prognoseergebnis!G166-'Erkrankungs- und Strukturdaten'!$C$15,$A:$D,$D$6,FALSE)*'Erkrankungs- und Strukturdaten'!$C$9,0),0)</f>
        <v>0</v>
      </c>
      <c r="J166" s="5">
        <f>I166*'Erkrankungs- und Strukturdaten'!$C$10/'Erkrankungs- und Strukturdaten'!$C$9</f>
        <v>0</v>
      </c>
      <c r="K166" s="5">
        <f>I166*'Erkrankungs- und Strukturdaten'!$C$21</f>
        <v>0</v>
      </c>
      <c r="L166" s="11"/>
      <c r="M166" s="82">
        <f>SUM($K$66:K166)</f>
        <v>939180</v>
      </c>
      <c r="N166" s="9"/>
      <c r="O166" s="5">
        <f>IF(AND(((H166/'Erkrankungs- und Strukturdaten'!$C$25)*'Erkrankungs- und Strukturdaten'!$E$27)+(H166/'Erkrankungs- und Strukturdaten'!$C$26)&lt;1,((H166/'Erkrankungs- und Strukturdaten'!$C$25)*'Erkrankungs- und Strukturdaten'!$E$27)+(H166/'Erkrankungs- und Strukturdaten'!$C$26)&gt;0),1,((H166/'Erkrankungs- und Strukturdaten'!$C$25)*'Erkrankungs- und Strukturdaten'!$E$27)+(H166/'Erkrankungs- und Strukturdaten'!$C$26))</f>
        <v>0</v>
      </c>
      <c r="P166" s="5">
        <f>ROUNDUP(((I166/'Erkrankungs- und Strukturdaten'!$C$28)*'Erkrankungs- und Strukturdaten'!$E$30)+(I166/'Erkrankungs- und Strukturdaten'!$C$29),0)</f>
        <v>0</v>
      </c>
      <c r="Q166" s="5">
        <f>ROUNDUP((H166/'Erkrankungs- und Strukturdaten'!$C$34*'Erkrankungs- und Strukturdaten'!$E$36)+(H166/'Erkrankungs- und Strukturdaten'!$C$35),0)</f>
        <v>0</v>
      </c>
      <c r="R166" s="5">
        <f>ROUNDUP((I166*'Erkrankungs- und Strukturdaten'!$C$40/'Erkrankungs- und Strukturdaten'!$C$38*'Erkrankungs- und Strukturdaten'!$E$39)+(I166*(1-'Erkrankungs- und Strukturdaten'!$C$40)/'Erkrankungs- und Strukturdaten'!$C$37*'Erkrankungs- und Strukturdaten'!$E$39),0)</f>
        <v>0</v>
      </c>
      <c r="S166" s="52"/>
      <c r="U166" s="44">
        <f>((H166/'Erkrankungs- und Strukturdaten'!$C$25)*'Erkrankungs- und Strukturdaten'!$E$27*'Erkrankungs- und Strukturdaten'!$F$27)+(H166/'Erkrankungs- und Strukturdaten'!$C$26*'Erkrankungs- und Strukturdaten'!$G$27)</f>
        <v>0</v>
      </c>
      <c r="V166" s="44">
        <f>(I166/'Erkrankungs- und Strukturdaten'!$C$28*'Erkrankungs- und Strukturdaten'!$E$30*'Erkrankungs- und Strukturdaten'!$F$30)+(I166/'Erkrankungs- und Strukturdaten'!$C$29*'Erkrankungs- und Strukturdaten'!$G$30)</f>
        <v>0</v>
      </c>
      <c r="AB166" s="2">
        <f t="shared" si="7"/>
        <v>44401</v>
      </c>
    </row>
    <row r="167" spans="1:28" ht="15" x14ac:dyDescent="0.2">
      <c r="A167" s="42">
        <v>158</v>
      </c>
      <c r="B167" s="370"/>
      <c r="C167" s="27">
        <f t="shared" si="5"/>
        <v>44402</v>
      </c>
      <c r="D167" s="6">
        <f>SUMIF('Fallzahlen (Berechnung)'!D:D,"&lt;="&amp;Prognoseergebnis!C167,'Fallzahlen (Berechnung)'!E:E)-'Fallzahlen (Berechnung)'!$E$1</f>
        <v>893097.39552723384</v>
      </c>
      <c r="E167" s="114" t="e">
        <f>VLOOKUP(C167,'Fallzahlen (Berechnung)'!$D:$E,'Fallzahlen (Berechnung)'!$E$1,FALSE)</f>
        <v>#N/A</v>
      </c>
      <c r="G167" s="18">
        <v>158</v>
      </c>
      <c r="H167" s="6">
        <f>ROUND('Erkrankungs- und Strukturdaten'!$C$8*D167-IF(G167&gt;'Erkrankungs- und Strukturdaten'!$C$14,VLOOKUP(Prognoseergebnis!G167-ROUNDDOWN('Erkrankungs- und Strukturdaten'!$C$14,0),$A:$D,$D$6,FALSE)*'Erkrankungs- und Strukturdaten'!$C$8,0)
+IF(G167&gt;'Erkrankungs- und Strukturdaten'!$C$15,VLOOKUP(Prognoseergebnis!G167-ROUNDDOWN('Erkrankungs- und Strukturdaten'!$C$15,0),A:D,$D$6,FALSE)*'Erkrankungs- und Strukturdaten'!$C$9,0)
-IF(G167&gt;'Erkrankungs- und Strukturdaten'!$C$15+'Erkrankungs- und Strukturdaten'!$C$16,VLOOKUP(Prognoseergebnis!G167-ROUNDDOWN('Erkrankungs- und Strukturdaten'!$C$15-'Erkrankungs- und Strukturdaten'!$C$16,0),A:D,$D$6,FALSE)*'Erkrankungs- und Strukturdaten'!$C$9,0),0)</f>
        <v>0</v>
      </c>
      <c r="I167" s="6">
        <f>ROUND('Erkrankungs- und Strukturdaten'!$C$9*D167-IF(G167&gt;'Erkrankungs- und Strukturdaten'!$C$15,VLOOKUP(Prognoseergebnis!G167-'Erkrankungs- und Strukturdaten'!$C$15,$A:$D,$D$6,FALSE)*'Erkrankungs- und Strukturdaten'!$C$9,0),0)</f>
        <v>0</v>
      </c>
      <c r="J167" s="6">
        <f>I167*'Erkrankungs- und Strukturdaten'!$C$10/'Erkrankungs- und Strukturdaten'!$C$9</f>
        <v>0</v>
      </c>
      <c r="K167" s="6">
        <f>I167*'Erkrankungs- und Strukturdaten'!$C$21</f>
        <v>0</v>
      </c>
      <c r="L167" s="11"/>
      <c r="M167" s="82">
        <f>SUM($K$66:K167)</f>
        <v>939180</v>
      </c>
      <c r="N167" s="9"/>
      <c r="O167" s="6">
        <f>IF(AND(((H167/'Erkrankungs- und Strukturdaten'!$C$25)*'Erkrankungs- und Strukturdaten'!$E$27)+(H167/'Erkrankungs- und Strukturdaten'!$C$26)&lt;1,((H167/'Erkrankungs- und Strukturdaten'!$C$25)*'Erkrankungs- und Strukturdaten'!$E$27)+(H167/'Erkrankungs- und Strukturdaten'!$C$26)&gt;0),1,((H167/'Erkrankungs- und Strukturdaten'!$C$25)*'Erkrankungs- und Strukturdaten'!$E$27)+(H167/'Erkrankungs- und Strukturdaten'!$C$26))</f>
        <v>0</v>
      </c>
      <c r="P167" s="6">
        <f>ROUNDUP(((I167/'Erkrankungs- und Strukturdaten'!$C$28)*'Erkrankungs- und Strukturdaten'!$E$30)+(I167/'Erkrankungs- und Strukturdaten'!$C$29),0)</f>
        <v>0</v>
      </c>
      <c r="Q167" s="6">
        <f>ROUNDUP((H167/'Erkrankungs- und Strukturdaten'!$C$34*'Erkrankungs- und Strukturdaten'!$E$36)+(H167/'Erkrankungs- und Strukturdaten'!$C$35),0)</f>
        <v>0</v>
      </c>
      <c r="R167" s="6">
        <f>ROUNDUP((I167*'Erkrankungs- und Strukturdaten'!$C$40/'Erkrankungs- und Strukturdaten'!$C$38*'Erkrankungs- und Strukturdaten'!$E$39)+(I167*(1-'Erkrankungs- und Strukturdaten'!$C$40)/'Erkrankungs- und Strukturdaten'!$C$37*'Erkrankungs- und Strukturdaten'!$E$39),0)</f>
        <v>0</v>
      </c>
      <c r="S167" s="52"/>
      <c r="U167" s="44">
        <f>((H167/'Erkrankungs- und Strukturdaten'!$C$25)*'Erkrankungs- und Strukturdaten'!$E$27*'Erkrankungs- und Strukturdaten'!$F$27)+(H167/'Erkrankungs- und Strukturdaten'!$C$26*'Erkrankungs- und Strukturdaten'!$G$27)</f>
        <v>0</v>
      </c>
      <c r="V167" s="44">
        <f>(I167/'Erkrankungs- und Strukturdaten'!$C$28*'Erkrankungs- und Strukturdaten'!$E$30*'Erkrankungs- und Strukturdaten'!$F$30)+(I167/'Erkrankungs- und Strukturdaten'!$C$29*'Erkrankungs- und Strukturdaten'!$G$30)</f>
        <v>0</v>
      </c>
      <c r="AB167" s="2">
        <f t="shared" si="7"/>
        <v>44402</v>
      </c>
    </row>
    <row r="168" spans="1:28" ht="15" x14ac:dyDescent="0.2">
      <c r="A168" s="42">
        <v>159</v>
      </c>
      <c r="B168" s="370"/>
      <c r="C168" s="28">
        <f t="shared" si="5"/>
        <v>44403</v>
      </c>
      <c r="D168" s="5">
        <f>SUMIF('Fallzahlen (Berechnung)'!D:D,"&lt;="&amp;Prognoseergebnis!C168,'Fallzahlen (Berechnung)'!E:E)-'Fallzahlen (Berechnung)'!$E$1</f>
        <v>893097.39552723384</v>
      </c>
      <c r="E168" s="115" t="e">
        <f>VLOOKUP(C168,'Fallzahlen (Berechnung)'!$D:$E,'Fallzahlen (Berechnung)'!$E$1,FALSE)</f>
        <v>#N/A</v>
      </c>
      <c r="G168" s="18">
        <v>159</v>
      </c>
      <c r="H168" s="5">
        <f>ROUND('Erkrankungs- und Strukturdaten'!$C$8*D168-IF(G168&gt;'Erkrankungs- und Strukturdaten'!$C$14,VLOOKUP(Prognoseergebnis!G168-ROUNDDOWN('Erkrankungs- und Strukturdaten'!$C$14,0),$A:$D,$D$6,FALSE)*'Erkrankungs- und Strukturdaten'!$C$8,0)
+IF(G168&gt;'Erkrankungs- und Strukturdaten'!$C$15,VLOOKUP(Prognoseergebnis!G168-ROUNDDOWN('Erkrankungs- und Strukturdaten'!$C$15,0),A:D,$D$6,FALSE)*'Erkrankungs- und Strukturdaten'!$C$9,0)
-IF(G168&gt;'Erkrankungs- und Strukturdaten'!$C$15+'Erkrankungs- und Strukturdaten'!$C$16,VLOOKUP(Prognoseergebnis!G168-ROUNDDOWN('Erkrankungs- und Strukturdaten'!$C$15-'Erkrankungs- und Strukturdaten'!$C$16,0),A:D,$D$6,FALSE)*'Erkrankungs- und Strukturdaten'!$C$9,0),0)</f>
        <v>0</v>
      </c>
      <c r="I168" s="5">
        <f>ROUND('Erkrankungs- und Strukturdaten'!$C$9*D168-IF(G168&gt;'Erkrankungs- und Strukturdaten'!$C$15,VLOOKUP(Prognoseergebnis!G168-'Erkrankungs- und Strukturdaten'!$C$15,$A:$D,$D$6,FALSE)*'Erkrankungs- und Strukturdaten'!$C$9,0),0)</f>
        <v>0</v>
      </c>
      <c r="J168" s="5">
        <f>I168*'Erkrankungs- und Strukturdaten'!$C$10/'Erkrankungs- und Strukturdaten'!$C$9</f>
        <v>0</v>
      </c>
      <c r="K168" s="5">
        <f>I168*'Erkrankungs- und Strukturdaten'!$C$21</f>
        <v>0</v>
      </c>
      <c r="L168" s="11"/>
      <c r="M168" s="82">
        <f>SUM($K$66:K168)</f>
        <v>939180</v>
      </c>
      <c r="N168" s="9"/>
      <c r="O168" s="5">
        <f>IF(AND(((H168/'Erkrankungs- und Strukturdaten'!$C$25)*'Erkrankungs- und Strukturdaten'!$E$27)+(H168/'Erkrankungs- und Strukturdaten'!$C$26)&lt;1,((H168/'Erkrankungs- und Strukturdaten'!$C$25)*'Erkrankungs- und Strukturdaten'!$E$27)+(H168/'Erkrankungs- und Strukturdaten'!$C$26)&gt;0),1,((H168/'Erkrankungs- und Strukturdaten'!$C$25)*'Erkrankungs- und Strukturdaten'!$E$27)+(H168/'Erkrankungs- und Strukturdaten'!$C$26))</f>
        <v>0</v>
      </c>
      <c r="P168" s="5">
        <f>ROUNDUP(((I168/'Erkrankungs- und Strukturdaten'!$C$28)*'Erkrankungs- und Strukturdaten'!$E$30)+(I168/'Erkrankungs- und Strukturdaten'!$C$29),0)</f>
        <v>0</v>
      </c>
      <c r="Q168" s="5">
        <f>ROUNDUP((H168/'Erkrankungs- und Strukturdaten'!$C$34*'Erkrankungs- und Strukturdaten'!$E$36)+(H168/'Erkrankungs- und Strukturdaten'!$C$35),0)</f>
        <v>0</v>
      </c>
      <c r="R168" s="5">
        <f>ROUNDUP((I168*'Erkrankungs- und Strukturdaten'!$C$40/'Erkrankungs- und Strukturdaten'!$C$38*'Erkrankungs- und Strukturdaten'!$E$39)+(I168*(1-'Erkrankungs- und Strukturdaten'!$C$40)/'Erkrankungs- und Strukturdaten'!$C$37*'Erkrankungs- und Strukturdaten'!$E$39),0)</f>
        <v>0</v>
      </c>
      <c r="S168" s="52"/>
      <c r="U168" s="44">
        <f>((H168/'Erkrankungs- und Strukturdaten'!$C$25)*'Erkrankungs- und Strukturdaten'!$E$27*'Erkrankungs- und Strukturdaten'!$F$27)+(H168/'Erkrankungs- und Strukturdaten'!$C$26*'Erkrankungs- und Strukturdaten'!$G$27)</f>
        <v>0</v>
      </c>
      <c r="V168" s="44">
        <f>(I168/'Erkrankungs- und Strukturdaten'!$C$28*'Erkrankungs- und Strukturdaten'!$E$30*'Erkrankungs- und Strukturdaten'!$F$30)+(I168/'Erkrankungs- und Strukturdaten'!$C$29*'Erkrankungs- und Strukturdaten'!$G$30)</f>
        <v>0</v>
      </c>
      <c r="AB168" s="2">
        <f t="shared" si="7"/>
        <v>44403</v>
      </c>
    </row>
    <row r="169" spans="1:28" ht="15" x14ac:dyDescent="0.2">
      <c r="A169" s="42">
        <v>160</v>
      </c>
      <c r="B169" s="370"/>
      <c r="C169" s="27">
        <f t="shared" si="5"/>
        <v>44404</v>
      </c>
      <c r="D169" s="6">
        <f>SUMIF('Fallzahlen (Berechnung)'!D:D,"&lt;="&amp;Prognoseergebnis!C169,'Fallzahlen (Berechnung)'!E:E)-'Fallzahlen (Berechnung)'!$E$1</f>
        <v>893097.39552723384</v>
      </c>
      <c r="E169" s="114" t="e">
        <f>VLOOKUP(C169,'Fallzahlen (Berechnung)'!$D:$E,'Fallzahlen (Berechnung)'!$E$1,FALSE)</f>
        <v>#N/A</v>
      </c>
      <c r="G169" s="18">
        <v>160</v>
      </c>
      <c r="H169" s="6">
        <f>ROUND('Erkrankungs- und Strukturdaten'!$C$8*D169-IF(G169&gt;'Erkrankungs- und Strukturdaten'!$C$14,VLOOKUP(Prognoseergebnis!G169-ROUNDDOWN('Erkrankungs- und Strukturdaten'!$C$14,0),$A:$D,$D$6,FALSE)*'Erkrankungs- und Strukturdaten'!$C$8,0)
+IF(G169&gt;'Erkrankungs- und Strukturdaten'!$C$15,VLOOKUP(Prognoseergebnis!G169-ROUNDDOWN('Erkrankungs- und Strukturdaten'!$C$15,0),A:D,$D$6,FALSE)*'Erkrankungs- und Strukturdaten'!$C$9,0)
-IF(G169&gt;'Erkrankungs- und Strukturdaten'!$C$15+'Erkrankungs- und Strukturdaten'!$C$16,VLOOKUP(Prognoseergebnis!G169-ROUNDDOWN('Erkrankungs- und Strukturdaten'!$C$15-'Erkrankungs- und Strukturdaten'!$C$16,0),A:D,$D$6,FALSE)*'Erkrankungs- und Strukturdaten'!$C$9,0),0)</f>
        <v>0</v>
      </c>
      <c r="I169" s="6">
        <f>ROUND('Erkrankungs- und Strukturdaten'!$C$9*D169-IF(G169&gt;'Erkrankungs- und Strukturdaten'!$C$15,VLOOKUP(Prognoseergebnis!G169-'Erkrankungs- und Strukturdaten'!$C$15,$A:$D,$D$6,FALSE)*'Erkrankungs- und Strukturdaten'!$C$9,0),0)</f>
        <v>0</v>
      </c>
      <c r="J169" s="6">
        <f>I169*'Erkrankungs- und Strukturdaten'!$C$10/'Erkrankungs- und Strukturdaten'!$C$9</f>
        <v>0</v>
      </c>
      <c r="K169" s="6">
        <f>I169*'Erkrankungs- und Strukturdaten'!$C$21</f>
        <v>0</v>
      </c>
      <c r="L169" s="11"/>
      <c r="M169" s="82">
        <f>SUM($K$66:K169)</f>
        <v>939180</v>
      </c>
      <c r="N169" s="9"/>
      <c r="O169" s="6">
        <f>IF(AND(((H169/'Erkrankungs- und Strukturdaten'!$C$25)*'Erkrankungs- und Strukturdaten'!$E$27)+(H169/'Erkrankungs- und Strukturdaten'!$C$26)&lt;1,((H169/'Erkrankungs- und Strukturdaten'!$C$25)*'Erkrankungs- und Strukturdaten'!$E$27)+(H169/'Erkrankungs- und Strukturdaten'!$C$26)&gt;0),1,((H169/'Erkrankungs- und Strukturdaten'!$C$25)*'Erkrankungs- und Strukturdaten'!$E$27)+(H169/'Erkrankungs- und Strukturdaten'!$C$26))</f>
        <v>0</v>
      </c>
      <c r="P169" s="6">
        <f>ROUNDUP(((I169/'Erkrankungs- und Strukturdaten'!$C$28)*'Erkrankungs- und Strukturdaten'!$E$30)+(I169/'Erkrankungs- und Strukturdaten'!$C$29),0)</f>
        <v>0</v>
      </c>
      <c r="Q169" s="6">
        <f>ROUNDUP((H169/'Erkrankungs- und Strukturdaten'!$C$34*'Erkrankungs- und Strukturdaten'!$E$36)+(H169/'Erkrankungs- und Strukturdaten'!$C$35),0)</f>
        <v>0</v>
      </c>
      <c r="R169" s="6">
        <f>ROUNDUP((I169*'Erkrankungs- und Strukturdaten'!$C$40/'Erkrankungs- und Strukturdaten'!$C$38*'Erkrankungs- und Strukturdaten'!$E$39)+(I169*(1-'Erkrankungs- und Strukturdaten'!$C$40)/'Erkrankungs- und Strukturdaten'!$C$37*'Erkrankungs- und Strukturdaten'!$E$39),0)</f>
        <v>0</v>
      </c>
      <c r="S169" s="52"/>
      <c r="U169" s="44">
        <f>((H169/'Erkrankungs- und Strukturdaten'!$C$25)*'Erkrankungs- und Strukturdaten'!$E$27*'Erkrankungs- und Strukturdaten'!$F$27)+(H169/'Erkrankungs- und Strukturdaten'!$C$26*'Erkrankungs- und Strukturdaten'!$G$27)</f>
        <v>0</v>
      </c>
      <c r="V169" s="44">
        <f>(I169/'Erkrankungs- und Strukturdaten'!$C$28*'Erkrankungs- und Strukturdaten'!$E$30*'Erkrankungs- und Strukturdaten'!$F$30)+(I169/'Erkrankungs- und Strukturdaten'!$C$29*'Erkrankungs- und Strukturdaten'!$G$30)</f>
        <v>0</v>
      </c>
      <c r="AB169" s="2">
        <f t="shared" si="7"/>
        <v>44404</v>
      </c>
    </row>
    <row r="170" spans="1:28" ht="15" x14ac:dyDescent="0.2">
      <c r="A170" s="42">
        <v>161</v>
      </c>
      <c r="B170" s="370"/>
      <c r="C170" s="29">
        <f t="shared" si="5"/>
        <v>44405</v>
      </c>
      <c r="D170" s="30">
        <f>SUMIF('Fallzahlen (Berechnung)'!D:D,"&lt;="&amp;Prognoseergebnis!C170,'Fallzahlen (Berechnung)'!E:E)-'Fallzahlen (Berechnung)'!$E$1</f>
        <v>893097.39552723384</v>
      </c>
      <c r="E170" s="117" t="e">
        <f>VLOOKUP(C170,'Fallzahlen (Berechnung)'!$D:$E,'Fallzahlen (Berechnung)'!$E$1,FALSE)</f>
        <v>#N/A</v>
      </c>
      <c r="G170" s="18">
        <v>161</v>
      </c>
      <c r="H170" s="30">
        <f>ROUND('Erkrankungs- und Strukturdaten'!$C$8*D170-IF(G170&gt;'Erkrankungs- und Strukturdaten'!$C$14,VLOOKUP(Prognoseergebnis!G170-ROUNDDOWN('Erkrankungs- und Strukturdaten'!$C$14,0),$A:$D,$D$6,FALSE)*'Erkrankungs- und Strukturdaten'!$C$8,0)
+IF(G170&gt;'Erkrankungs- und Strukturdaten'!$C$15,VLOOKUP(Prognoseergebnis!G170-ROUNDDOWN('Erkrankungs- und Strukturdaten'!$C$15,0),A:D,$D$6,FALSE)*'Erkrankungs- und Strukturdaten'!$C$9,0)
-IF(G170&gt;'Erkrankungs- und Strukturdaten'!$C$15+'Erkrankungs- und Strukturdaten'!$C$16,VLOOKUP(Prognoseergebnis!G170-ROUNDDOWN('Erkrankungs- und Strukturdaten'!$C$15-'Erkrankungs- und Strukturdaten'!$C$16,0),A:D,$D$6,FALSE)*'Erkrankungs- und Strukturdaten'!$C$9,0),0)</f>
        <v>0</v>
      </c>
      <c r="I170" s="30">
        <f>ROUND('Erkrankungs- und Strukturdaten'!$C$9*D170-IF(G170&gt;'Erkrankungs- und Strukturdaten'!$C$15,VLOOKUP(Prognoseergebnis!G170-'Erkrankungs- und Strukturdaten'!$C$15,$A:$D,$D$6,FALSE)*'Erkrankungs- und Strukturdaten'!$C$9,0),0)</f>
        <v>0</v>
      </c>
      <c r="J170" s="30">
        <f>I170*'Erkrankungs- und Strukturdaten'!$C$10/'Erkrankungs- und Strukturdaten'!$C$9</f>
        <v>0</v>
      </c>
      <c r="K170" s="30">
        <f>I170*'Erkrankungs- und Strukturdaten'!$C$21</f>
        <v>0</v>
      </c>
      <c r="L170" s="11"/>
      <c r="M170" s="82">
        <f>SUM($K$66:K170)</f>
        <v>939180</v>
      </c>
      <c r="N170" s="9"/>
      <c r="O170" s="30">
        <f>IF(AND(((H170/'Erkrankungs- und Strukturdaten'!$C$25)*'Erkrankungs- und Strukturdaten'!$E$27)+(H170/'Erkrankungs- und Strukturdaten'!$C$26)&lt;1,((H170/'Erkrankungs- und Strukturdaten'!$C$25)*'Erkrankungs- und Strukturdaten'!$E$27)+(H170/'Erkrankungs- und Strukturdaten'!$C$26)&gt;0),1,((H170/'Erkrankungs- und Strukturdaten'!$C$25)*'Erkrankungs- und Strukturdaten'!$E$27)+(H170/'Erkrankungs- und Strukturdaten'!$C$26))</f>
        <v>0</v>
      </c>
      <c r="P170" s="30">
        <f>ROUNDUP(((I170/'Erkrankungs- und Strukturdaten'!$C$28)*'Erkrankungs- und Strukturdaten'!$E$30)+(I170/'Erkrankungs- und Strukturdaten'!$C$29),0)</f>
        <v>0</v>
      </c>
      <c r="Q170" s="30">
        <f>ROUNDUP((H170/'Erkrankungs- und Strukturdaten'!$C$34*'Erkrankungs- und Strukturdaten'!$E$36)+(H170/'Erkrankungs- und Strukturdaten'!$C$35),0)</f>
        <v>0</v>
      </c>
      <c r="R170" s="30">
        <f>ROUNDUP((I170*'Erkrankungs- und Strukturdaten'!$C$40/'Erkrankungs- und Strukturdaten'!$C$38*'Erkrankungs- und Strukturdaten'!$E$39)+(I170*(1-'Erkrankungs- und Strukturdaten'!$C$40)/'Erkrankungs- und Strukturdaten'!$C$37*'Erkrankungs- und Strukturdaten'!$E$39),0)</f>
        <v>0</v>
      </c>
      <c r="S170" s="52"/>
      <c r="U170" s="44">
        <f>((H170/'Erkrankungs- und Strukturdaten'!$C$25)*'Erkrankungs- und Strukturdaten'!$E$27*'Erkrankungs- und Strukturdaten'!$F$27)+(H170/'Erkrankungs- und Strukturdaten'!$C$26*'Erkrankungs- und Strukturdaten'!$G$27)</f>
        <v>0</v>
      </c>
      <c r="V170" s="44">
        <f>(I170/'Erkrankungs- und Strukturdaten'!$C$28*'Erkrankungs- und Strukturdaten'!$E$30*'Erkrankungs- und Strukturdaten'!$F$30)+(I170/'Erkrankungs- und Strukturdaten'!$C$29*'Erkrankungs- und Strukturdaten'!$G$30)</f>
        <v>0</v>
      </c>
      <c r="AB170" s="2">
        <f t="shared" si="7"/>
        <v>44405</v>
      </c>
    </row>
    <row r="171" spans="1:28" ht="8.25" customHeight="1" x14ac:dyDescent="0.2">
      <c r="G171" s="183"/>
      <c r="H171" s="183"/>
      <c r="I171" s="183"/>
      <c r="J171" s="183"/>
      <c r="K171" s="183"/>
      <c r="L171" s="183"/>
      <c r="N171" s="184"/>
      <c r="O171" s="184"/>
      <c r="P171" s="184"/>
      <c r="Q171" s="184"/>
      <c r="R171" s="184"/>
      <c r="S171" s="184"/>
    </row>
  </sheetData>
  <sheetProtection password="8C78" sheet="1" objects="1" scenarios="1"/>
  <mergeCells count="38">
    <mergeCell ref="H7:K7"/>
    <mergeCell ref="B73:B79"/>
    <mergeCell ref="B1:L2"/>
    <mergeCell ref="B136:B142"/>
    <mergeCell ref="B143:B149"/>
    <mergeCell ref="B66:B72"/>
    <mergeCell ref="J8:J9"/>
    <mergeCell ref="B10:B16"/>
    <mergeCell ref="B17:B23"/>
    <mergeCell ref="B24:B30"/>
    <mergeCell ref="B31:B37"/>
    <mergeCell ref="Q1:Q4"/>
    <mergeCell ref="B7:E7"/>
    <mergeCell ref="B59:B65"/>
    <mergeCell ref="D8:D9"/>
    <mergeCell ref="E8:E9"/>
    <mergeCell ref="H8:H9"/>
    <mergeCell ref="B3:C3"/>
    <mergeCell ref="B38:B44"/>
    <mergeCell ref="B45:B51"/>
    <mergeCell ref="B52:B58"/>
    <mergeCell ref="B8:C9"/>
    <mergeCell ref="O7:R7"/>
    <mergeCell ref="K8:K9"/>
    <mergeCell ref="O8:P8"/>
    <mergeCell ref="Q8:R8"/>
    <mergeCell ref="I8:I9"/>
    <mergeCell ref="B150:B156"/>
    <mergeCell ref="B157:B163"/>
    <mergeCell ref="B164:B170"/>
    <mergeCell ref="B80:B86"/>
    <mergeCell ref="B87:B93"/>
    <mergeCell ref="B129:B135"/>
    <mergeCell ref="B94:B100"/>
    <mergeCell ref="B101:B107"/>
    <mergeCell ref="B108:B114"/>
    <mergeCell ref="B115:B121"/>
    <mergeCell ref="B122:B128"/>
  </mergeCells>
  <pageMargins left="0.78740157480314965" right="0.78740157480314965" top="0.98425196850393704" bottom="0.98425196850393704" header="0.59055118110236227" footer="0.51181102362204722"/>
  <pageSetup paperSize="9" scale="35" orientation="landscape" r:id="rId1"/>
  <headerFooter alignWithMargins="0">
    <oddFooter>&amp;C_____________________________________________________________________________
www.zeq.de | info@zeq.de
&amp;R&amp;P</oddFooter>
  </headerFooter>
  <colBreaks count="1" manualBreakCount="1">
    <brk id="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A488F687-B0BE-4FCB-9CE4-C51EAE5DDF75}">
            <xm:f>(Stammdaten!$B$1="Schweiz")</xm:f>
            <x14:dxf>
              <fill>
                <patternFill>
                  <bgColor rgb="FFFF0000"/>
                </patternFill>
              </fill>
              <border>
                <left/>
                <right/>
                <top/>
                <bottom/>
                <vertical/>
                <horizontal/>
              </border>
            </x14:dxf>
          </x14:cfRule>
          <xm:sqref>Q1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tabColor rgb="FFC00000"/>
    <pageSetUpPr fitToPage="1"/>
  </sheetPr>
  <dimension ref="B1:BA266"/>
  <sheetViews>
    <sheetView showGridLines="0" topLeftCell="A9" zoomScale="60" zoomScaleNormal="60" zoomScaleSheetLayoutView="40" zoomScalePageLayoutView="30" workbookViewId="0">
      <selection activeCell="Z39" sqref="Z39"/>
    </sheetView>
  </sheetViews>
  <sheetFormatPr baseColWidth="10" defaultRowHeight="12.75" x14ac:dyDescent="0.2"/>
  <cols>
    <col min="1" max="1" width="3.5703125" customWidth="1"/>
    <col min="13" max="14" width="2.42578125" customWidth="1"/>
    <col min="16" max="16" width="11.5703125" customWidth="1"/>
    <col min="17" max="25" width="11.5703125" style="81"/>
    <col min="26" max="27" width="2.42578125" style="81" customWidth="1"/>
    <col min="28" max="33" width="11.5703125" style="81" customWidth="1"/>
    <col min="34" max="35" width="11.5703125" style="81"/>
    <col min="36" max="38" width="11.5703125" style="81" customWidth="1"/>
    <col min="39" max="39" width="2.140625" style="81" customWidth="1"/>
    <col min="40" max="50" width="11.5703125" style="35"/>
    <col min="51" max="53" width="11.5703125" style="143"/>
  </cols>
  <sheetData>
    <row r="1" spans="2:47" ht="14.85" customHeight="1" x14ac:dyDescent="0.2">
      <c r="B1" s="387" t="s">
        <v>207</v>
      </c>
      <c r="C1" s="387"/>
      <c r="D1" s="387"/>
      <c r="E1" s="387"/>
      <c r="F1" s="387"/>
      <c r="G1" s="387"/>
      <c r="H1" s="387"/>
      <c r="I1" s="387"/>
      <c r="J1" s="387"/>
      <c r="K1" s="387"/>
      <c r="L1" s="387"/>
      <c r="M1" s="387"/>
      <c r="N1" s="387"/>
      <c r="O1" s="387"/>
      <c r="P1" s="387"/>
      <c r="Q1" s="387"/>
      <c r="R1" s="387"/>
      <c r="AG1" s="400" t="s">
        <v>120</v>
      </c>
      <c r="AH1" s="400"/>
      <c r="AK1" s="103"/>
      <c r="AR1" s="388" t="s">
        <v>15</v>
      </c>
      <c r="AS1" s="388"/>
    </row>
    <row r="2" spans="2:47" ht="14.85" customHeight="1" x14ac:dyDescent="0.2">
      <c r="B2" s="387"/>
      <c r="C2" s="387"/>
      <c r="D2" s="387"/>
      <c r="E2" s="387"/>
      <c r="F2" s="387"/>
      <c r="G2" s="387"/>
      <c r="H2" s="387"/>
      <c r="I2" s="387"/>
      <c r="J2" s="387"/>
      <c r="K2" s="387"/>
      <c r="L2" s="387"/>
      <c r="M2" s="387"/>
      <c r="N2" s="387"/>
      <c r="O2" s="387"/>
      <c r="P2" s="387"/>
      <c r="Q2" s="387"/>
      <c r="R2" s="387"/>
      <c r="AG2" s="400"/>
      <c r="AH2" s="400"/>
      <c r="AK2" s="103"/>
      <c r="AR2" s="35" t="s">
        <v>45</v>
      </c>
      <c r="AS2" s="79">
        <f>LARGE(Prognoseergebnis!H66:H135,1)</f>
        <v>4239</v>
      </c>
      <c r="AT2" s="79" t="str">
        <f>"Peak: "&amp;TEXT(AS2,"#.##0")</f>
        <v>Peak: 4.239</v>
      </c>
      <c r="AU2" s="35" t="str">
        <f>AT2&amp;AT3</f>
        <v>Peak: 4.239 am 23.06</v>
      </c>
    </row>
    <row r="3" spans="2:47" ht="14.85" customHeight="1" x14ac:dyDescent="0.25">
      <c r="B3" s="387" t="s">
        <v>208</v>
      </c>
      <c r="C3" s="387"/>
      <c r="D3" s="387"/>
      <c r="E3" s="387"/>
      <c r="F3" s="387"/>
      <c r="G3" s="387"/>
      <c r="H3" s="387"/>
      <c r="I3" s="387"/>
      <c r="J3" s="387"/>
      <c r="K3" s="387"/>
      <c r="L3" s="387"/>
      <c r="M3" s="387"/>
      <c r="N3" s="387"/>
      <c r="O3" s="387"/>
      <c r="P3" s="387"/>
      <c r="Q3" s="387"/>
      <c r="R3" s="387"/>
      <c r="S3" s="105"/>
      <c r="AG3" s="400"/>
      <c r="AH3" s="400"/>
      <c r="AK3" s="103"/>
      <c r="AR3" s="35" t="s">
        <v>44</v>
      </c>
      <c r="AS3" s="80">
        <f>VLOOKUP(AS2,Prognoseergebnis!H:AB,21,FALSE)</f>
        <v>44370</v>
      </c>
      <c r="AT3" s="35" t="str">
        <f>" am "&amp;TEXT(AS3,"TT.MM")</f>
        <v xml:space="preserve"> am 23.06</v>
      </c>
    </row>
    <row r="4" spans="2:47" ht="12.75" customHeight="1" x14ac:dyDescent="0.25">
      <c r="B4" s="387"/>
      <c r="C4" s="387"/>
      <c r="D4" s="387"/>
      <c r="E4" s="387"/>
      <c r="F4" s="387"/>
      <c r="G4" s="387"/>
      <c r="H4" s="387"/>
      <c r="I4" s="387"/>
      <c r="J4" s="387"/>
      <c r="K4" s="387"/>
      <c r="L4" s="387"/>
      <c r="M4" s="387"/>
      <c r="N4" s="387"/>
      <c r="O4" s="387"/>
      <c r="P4" s="387"/>
      <c r="Q4" s="387"/>
      <c r="R4" s="387"/>
      <c r="S4" s="105"/>
      <c r="AG4" s="400"/>
      <c r="AH4" s="400"/>
      <c r="AI4" s="104"/>
      <c r="AJ4" s="104"/>
    </row>
    <row r="5" spans="2:47" ht="12.75" customHeight="1" x14ac:dyDescent="0.25">
      <c r="B5" s="387"/>
      <c r="C5" s="387"/>
      <c r="D5" s="387"/>
      <c r="E5" s="387"/>
      <c r="F5" s="387"/>
      <c r="G5" s="387"/>
      <c r="H5" s="387"/>
      <c r="I5" s="387"/>
      <c r="J5" s="387"/>
      <c r="K5" s="387"/>
      <c r="L5" s="387"/>
      <c r="M5" s="387"/>
      <c r="N5" s="387"/>
      <c r="O5" s="387"/>
      <c r="P5" s="387"/>
      <c r="Q5" s="387"/>
      <c r="R5" s="387"/>
      <c r="S5" s="105"/>
      <c r="V5" s="399"/>
      <c r="W5" s="399"/>
      <c r="X5" s="399"/>
      <c r="AG5" s="400"/>
      <c r="AH5" s="400"/>
      <c r="AR5" s="35" t="s">
        <v>17</v>
      </c>
    </row>
    <row r="6" spans="2:47" ht="13.15" customHeight="1" x14ac:dyDescent="0.25">
      <c r="B6" s="387"/>
      <c r="C6" s="387"/>
      <c r="D6" s="387"/>
      <c r="E6" s="387"/>
      <c r="F6" s="387"/>
      <c r="G6" s="387"/>
      <c r="H6" s="387"/>
      <c r="I6" s="387"/>
      <c r="J6" s="387"/>
      <c r="K6" s="387"/>
      <c r="L6" s="387"/>
      <c r="M6" s="387"/>
      <c r="N6" s="387"/>
      <c r="O6" s="387"/>
      <c r="P6" s="387"/>
      <c r="Q6" s="387"/>
      <c r="R6" s="387"/>
      <c r="S6" s="105"/>
      <c r="V6" s="399"/>
      <c r="W6" s="399"/>
      <c r="X6" s="399"/>
      <c r="AG6" s="400"/>
      <c r="AH6" s="400"/>
      <c r="AI6" s="398" t="s">
        <v>123</v>
      </c>
      <c r="AJ6" s="398"/>
      <c r="AK6" s="398"/>
      <c r="AL6" s="398"/>
      <c r="AR6" s="35" t="s">
        <v>46</v>
      </c>
      <c r="AS6" s="35">
        <f>LARGE(Prognoseergebnis!I66:I135,1)</f>
        <v>744</v>
      </c>
      <c r="AT6" s="35" t="str">
        <f>"Peak: "&amp;TEXT(AS6,"#.##0")</f>
        <v>Peak: 744</v>
      </c>
      <c r="AU6" s="35" t="str">
        <f>AT6&amp;AT7</f>
        <v>Peak: 744 am 23.06</v>
      </c>
    </row>
    <row r="7" spans="2:47" ht="12.95" customHeight="1" x14ac:dyDescent="0.2">
      <c r="B7" s="386" t="str">
        <f>IF(Prognoseparameter!C19="","","Covid-19-Entwicklung ("&amp;_Methodik&amp;"-Szenario) für "&amp;Prognoseparameter!C19)</f>
        <v/>
      </c>
      <c r="C7" s="386"/>
      <c r="D7" s="386"/>
      <c r="E7" s="386"/>
      <c r="F7" s="386"/>
      <c r="G7" s="386"/>
      <c r="H7" s="386"/>
      <c r="I7" s="386"/>
      <c r="J7" s="386"/>
      <c r="K7" s="386"/>
      <c r="L7" s="386"/>
      <c r="M7" s="386"/>
      <c r="N7" s="386"/>
      <c r="O7" s="386"/>
      <c r="P7" s="386"/>
      <c r="Q7" s="386"/>
      <c r="R7" s="386"/>
      <c r="S7" s="386"/>
      <c r="T7" s="386"/>
      <c r="U7" s="386"/>
      <c r="V7" s="386"/>
      <c r="W7" s="386"/>
      <c r="X7" s="386"/>
      <c r="Y7" s="386"/>
      <c r="AG7" s="400"/>
      <c r="AH7" s="400"/>
      <c r="AI7" s="398"/>
      <c r="AJ7" s="398"/>
      <c r="AK7" s="398"/>
      <c r="AL7" s="398"/>
      <c r="AR7" s="35" t="s">
        <v>44</v>
      </c>
      <c r="AS7" s="80">
        <f>VLOOKUP(AS6,Prognoseergebnis!I:AB,20,FALSE)</f>
        <v>44370</v>
      </c>
      <c r="AT7" s="35" t="str">
        <f>" am "&amp;TEXT(AS7,"TT.MM")</f>
        <v xml:space="preserve"> am 23.06</v>
      </c>
    </row>
    <row r="8" spans="2:47" ht="12.95" customHeight="1" x14ac:dyDescent="0.2">
      <c r="B8" s="386"/>
      <c r="C8" s="386"/>
      <c r="D8" s="386"/>
      <c r="E8" s="386"/>
      <c r="F8" s="386"/>
      <c r="G8" s="386"/>
      <c r="H8" s="386"/>
      <c r="I8" s="386"/>
      <c r="J8" s="386"/>
      <c r="K8" s="386"/>
      <c r="L8" s="386"/>
      <c r="M8" s="386"/>
      <c r="N8" s="386"/>
      <c r="O8" s="386"/>
      <c r="P8" s="386"/>
      <c r="Q8" s="386"/>
      <c r="R8" s="386"/>
      <c r="S8" s="386"/>
      <c r="T8" s="386"/>
      <c r="U8" s="386"/>
      <c r="V8" s="386"/>
      <c r="W8" s="386"/>
      <c r="X8" s="386"/>
      <c r="Y8" s="386"/>
      <c r="AI8" s="398"/>
      <c r="AJ8" s="398"/>
      <c r="AK8" s="398"/>
      <c r="AL8" s="398"/>
    </row>
    <row r="9" spans="2:47" ht="12.95" customHeight="1" x14ac:dyDescent="0.2">
      <c r="B9" s="386"/>
      <c r="C9" s="386"/>
      <c r="D9" s="386"/>
      <c r="E9" s="386"/>
      <c r="F9" s="386"/>
      <c r="G9" s="386"/>
      <c r="H9" s="386"/>
      <c r="I9" s="386"/>
      <c r="J9" s="386"/>
      <c r="K9" s="386"/>
      <c r="L9" s="386"/>
      <c r="M9" s="386"/>
      <c r="N9" s="386"/>
      <c r="O9" s="386"/>
      <c r="P9" s="386"/>
      <c r="Q9" s="386"/>
      <c r="R9" s="386"/>
      <c r="S9" s="386"/>
      <c r="T9" s="386"/>
      <c r="U9" s="386"/>
      <c r="V9" s="386"/>
      <c r="W9" s="386"/>
      <c r="X9" s="386"/>
      <c r="Y9" s="386"/>
      <c r="AI9" s="398"/>
      <c r="AJ9" s="398"/>
      <c r="AK9" s="398"/>
      <c r="AL9" s="398"/>
    </row>
    <row r="10" spans="2:47" x14ac:dyDescent="0.2">
      <c r="AI10" s="398"/>
      <c r="AJ10" s="398"/>
      <c r="AK10" s="398"/>
      <c r="AL10" s="398"/>
    </row>
    <row r="11" spans="2:47" x14ac:dyDescent="0.2">
      <c r="AI11" s="398"/>
      <c r="AJ11" s="398"/>
      <c r="AK11" s="398"/>
      <c r="AL11" s="398"/>
    </row>
    <row r="12" spans="2:47" ht="13.5" thickBot="1" x14ac:dyDescent="0.25">
      <c r="AG12" s="104"/>
      <c r="AH12" s="104"/>
      <c r="AI12" s="398"/>
      <c r="AJ12" s="398"/>
      <c r="AK12" s="398"/>
      <c r="AL12" s="398"/>
      <c r="AR12" s="35" t="s">
        <v>46</v>
      </c>
      <c r="AS12" s="35">
        <f>LARGE(Prognoseergebnis!J66:J135,1)</f>
        <v>364.56</v>
      </c>
      <c r="AT12" s="35" t="str">
        <f>"Peak: "&amp;TEXT(AS12,"#.##0")</f>
        <v>Peak: 365</v>
      </c>
      <c r="AU12" s="35" t="str">
        <f>AT12&amp;AT13</f>
        <v>Peak: 365 am 23.06</v>
      </c>
    </row>
    <row r="13" spans="2:47" ht="13.15" customHeight="1" x14ac:dyDescent="0.2">
      <c r="B13" s="389" t="s">
        <v>230</v>
      </c>
      <c r="C13" s="390"/>
      <c r="D13" s="390"/>
      <c r="E13" s="390"/>
      <c r="F13" s="390"/>
      <c r="G13" s="390"/>
      <c r="H13" s="390"/>
      <c r="I13" s="390"/>
      <c r="J13" s="390"/>
      <c r="K13" s="390"/>
      <c r="L13" s="391"/>
      <c r="O13" s="389" t="s">
        <v>8</v>
      </c>
      <c r="P13" s="390"/>
      <c r="Q13" s="390"/>
      <c r="R13" s="390"/>
      <c r="S13" s="390"/>
      <c r="T13" s="390"/>
      <c r="U13" s="390"/>
      <c r="V13" s="390"/>
      <c r="W13" s="390"/>
      <c r="X13" s="390"/>
      <c r="Y13" s="391"/>
      <c r="AB13" s="389" t="s">
        <v>70</v>
      </c>
      <c r="AC13" s="390"/>
      <c r="AD13" s="390"/>
      <c r="AE13" s="390"/>
      <c r="AF13" s="390"/>
      <c r="AG13" s="390"/>
      <c r="AH13" s="390"/>
      <c r="AI13" s="390"/>
      <c r="AJ13" s="390"/>
      <c r="AK13" s="390"/>
      <c r="AL13" s="391"/>
      <c r="AR13" s="35" t="s">
        <v>44</v>
      </c>
      <c r="AS13" s="80">
        <f>VLOOKUP(AS12,Prognoseergebnis!J:AB,19,FALSE)</f>
        <v>44370</v>
      </c>
      <c r="AT13" s="35" t="str">
        <f>" am "&amp;TEXT(AS13,"TT.MM")</f>
        <v xml:space="preserve"> am 23.06</v>
      </c>
    </row>
    <row r="14" spans="2:47" ht="14.85" customHeight="1" thickBot="1" x14ac:dyDescent="0.25">
      <c r="B14" s="392"/>
      <c r="C14" s="393"/>
      <c r="D14" s="393"/>
      <c r="E14" s="393"/>
      <c r="F14" s="393"/>
      <c r="G14" s="393"/>
      <c r="H14" s="393"/>
      <c r="I14" s="393"/>
      <c r="J14" s="393"/>
      <c r="K14" s="393"/>
      <c r="L14" s="394"/>
      <c r="O14" s="395"/>
      <c r="P14" s="396"/>
      <c r="Q14" s="396"/>
      <c r="R14" s="396"/>
      <c r="S14" s="396"/>
      <c r="T14" s="396"/>
      <c r="U14" s="396"/>
      <c r="V14" s="396"/>
      <c r="W14" s="396"/>
      <c r="X14" s="396"/>
      <c r="Y14" s="397"/>
      <c r="AB14" s="392"/>
      <c r="AC14" s="393"/>
      <c r="AD14" s="393"/>
      <c r="AE14" s="393"/>
      <c r="AF14" s="393"/>
      <c r="AG14" s="393"/>
      <c r="AH14" s="393"/>
      <c r="AI14" s="393"/>
      <c r="AJ14" s="393"/>
      <c r="AK14" s="393"/>
      <c r="AL14" s="394"/>
    </row>
    <row r="15" spans="2:47" x14ac:dyDescent="0.2">
      <c r="B15" s="107"/>
      <c r="C15" s="87"/>
      <c r="D15" s="87"/>
      <c r="E15" s="87"/>
      <c r="F15" s="87"/>
      <c r="G15" s="87"/>
      <c r="H15" s="87"/>
      <c r="I15" s="87"/>
      <c r="J15" s="87"/>
      <c r="K15" s="87"/>
      <c r="L15" s="88"/>
      <c r="O15" s="107"/>
      <c r="P15" s="87"/>
      <c r="Q15" s="87"/>
      <c r="R15" s="87"/>
      <c r="S15" s="87"/>
      <c r="T15" s="87"/>
      <c r="U15" s="87"/>
      <c r="V15" s="87"/>
      <c r="W15" s="87"/>
      <c r="X15" s="87"/>
      <c r="Y15" s="88"/>
      <c r="AB15" s="107"/>
      <c r="AC15" s="87"/>
      <c r="AD15" s="87"/>
      <c r="AE15" s="87"/>
      <c r="AF15" s="87"/>
      <c r="AG15" s="87"/>
      <c r="AH15" s="87"/>
      <c r="AI15" s="87"/>
      <c r="AJ15" s="87"/>
      <c r="AK15" s="87"/>
      <c r="AL15" s="88"/>
    </row>
    <row r="16" spans="2:47" x14ac:dyDescent="0.2">
      <c r="B16" s="89"/>
      <c r="C16" s="90"/>
      <c r="D16" s="90"/>
      <c r="E16" s="90"/>
      <c r="F16" s="90"/>
      <c r="G16" s="90"/>
      <c r="H16" s="90"/>
      <c r="I16" s="90"/>
      <c r="J16" s="90"/>
      <c r="K16" s="90"/>
      <c r="L16" s="91"/>
      <c r="O16" s="89"/>
      <c r="P16" s="90"/>
      <c r="Q16" s="90"/>
      <c r="R16" s="90"/>
      <c r="S16" s="90"/>
      <c r="T16" s="90"/>
      <c r="U16" s="90"/>
      <c r="V16" s="90"/>
      <c r="W16" s="90"/>
      <c r="X16" s="90"/>
      <c r="Y16" s="91"/>
      <c r="AB16" s="89"/>
      <c r="AC16" s="90"/>
      <c r="AD16" s="90"/>
      <c r="AE16" s="90"/>
      <c r="AF16" s="90"/>
      <c r="AG16" s="90"/>
      <c r="AH16" s="90"/>
      <c r="AI16" s="90"/>
      <c r="AJ16" s="90"/>
      <c r="AK16" s="90"/>
      <c r="AL16" s="91"/>
    </row>
    <row r="17" spans="2:47" x14ac:dyDescent="0.2">
      <c r="B17" s="89"/>
      <c r="C17" s="90"/>
      <c r="D17" s="90"/>
      <c r="E17" s="90"/>
      <c r="F17" s="90"/>
      <c r="G17" s="90"/>
      <c r="H17" s="90"/>
      <c r="I17" s="90"/>
      <c r="J17" s="90"/>
      <c r="K17" s="90"/>
      <c r="L17" s="91"/>
      <c r="O17" s="89"/>
      <c r="P17" s="90"/>
      <c r="Q17" s="90"/>
      <c r="R17" s="90"/>
      <c r="S17" s="90"/>
      <c r="T17" s="90"/>
      <c r="U17" s="90"/>
      <c r="V17" s="90"/>
      <c r="W17" s="90"/>
      <c r="X17" s="90"/>
      <c r="Y17" s="91"/>
      <c r="AB17" s="89"/>
      <c r="AC17" s="90"/>
      <c r="AD17" s="90"/>
      <c r="AE17" s="90"/>
      <c r="AF17" s="90"/>
      <c r="AG17" s="90"/>
      <c r="AH17" s="90"/>
      <c r="AI17" s="90"/>
      <c r="AJ17" s="90"/>
      <c r="AK17" s="90"/>
      <c r="AL17" s="91"/>
      <c r="AR17" s="388" t="s">
        <v>65</v>
      </c>
      <c r="AS17" s="388"/>
    </row>
    <row r="18" spans="2:47" x14ac:dyDescent="0.2">
      <c r="B18" s="89"/>
      <c r="C18" s="90"/>
      <c r="D18" s="90"/>
      <c r="E18" s="90"/>
      <c r="F18" s="90"/>
      <c r="G18" s="90"/>
      <c r="H18" s="90"/>
      <c r="I18" s="90"/>
      <c r="J18" s="90"/>
      <c r="K18" s="90"/>
      <c r="L18" s="91"/>
      <c r="O18" s="89"/>
      <c r="P18" s="90"/>
      <c r="Q18" s="90"/>
      <c r="R18" s="90"/>
      <c r="S18" s="90"/>
      <c r="T18" s="90"/>
      <c r="U18" s="90"/>
      <c r="V18" s="90"/>
      <c r="W18" s="90"/>
      <c r="X18" s="90"/>
      <c r="Y18" s="91"/>
      <c r="AB18" s="89"/>
      <c r="AC18" s="90"/>
      <c r="AD18" s="90"/>
      <c r="AE18" s="90"/>
      <c r="AF18" s="90"/>
      <c r="AG18" s="90"/>
      <c r="AH18" s="90"/>
      <c r="AI18" s="90"/>
      <c r="AJ18" s="90"/>
      <c r="AK18" s="90"/>
      <c r="AL18" s="91"/>
      <c r="AR18" s="35" t="s">
        <v>45</v>
      </c>
      <c r="AS18" s="79">
        <f>LARGE(Prognoseergebnis!O66:O135,1)</f>
        <v>1836.9</v>
      </c>
      <c r="AT18" s="79" t="str">
        <f>"Peak: "&amp;TEXT(AS18,"#.##0")</f>
        <v>Peak: 1.837</v>
      </c>
      <c r="AU18" s="35" t="str">
        <f>AT18&amp;AT19</f>
        <v>Peak: 1.837 am 23.06</v>
      </c>
    </row>
    <row r="19" spans="2:47" x14ac:dyDescent="0.2">
      <c r="B19" s="89"/>
      <c r="C19" s="90"/>
      <c r="D19" s="90"/>
      <c r="E19" s="90"/>
      <c r="F19" s="90"/>
      <c r="G19" s="90"/>
      <c r="H19" s="90"/>
      <c r="I19" s="90"/>
      <c r="J19" s="90"/>
      <c r="K19" s="90"/>
      <c r="L19" s="91"/>
      <c r="O19" s="89"/>
      <c r="P19" s="90"/>
      <c r="Q19" s="90"/>
      <c r="R19" s="90"/>
      <c r="S19" s="90"/>
      <c r="T19" s="90"/>
      <c r="U19" s="90"/>
      <c r="V19" s="90"/>
      <c r="W19" s="90"/>
      <c r="X19" s="90"/>
      <c r="Y19" s="91"/>
      <c r="AB19" s="89"/>
      <c r="AC19" s="90"/>
      <c r="AD19" s="90"/>
      <c r="AE19" s="90"/>
      <c r="AF19" s="90"/>
      <c r="AG19" s="90"/>
      <c r="AH19" s="90"/>
      <c r="AI19" s="90"/>
      <c r="AJ19" s="90"/>
      <c r="AK19" s="90"/>
      <c r="AL19" s="91"/>
      <c r="AR19" s="35" t="s">
        <v>44</v>
      </c>
      <c r="AS19" s="80">
        <f>VLOOKUP(AS18,Prognoseergebnis!O:AB,14,FALSE)</f>
        <v>44370</v>
      </c>
      <c r="AT19" s="35" t="str">
        <f>" am "&amp;TEXT(AS19,"TT.MM")</f>
        <v xml:space="preserve"> am 23.06</v>
      </c>
    </row>
    <row r="20" spans="2:47" x14ac:dyDescent="0.2">
      <c r="B20" s="89"/>
      <c r="C20" s="90"/>
      <c r="D20" s="90"/>
      <c r="E20" s="90"/>
      <c r="F20" s="90"/>
      <c r="G20" s="90"/>
      <c r="H20" s="90"/>
      <c r="I20" s="90"/>
      <c r="J20" s="90"/>
      <c r="K20" s="90"/>
      <c r="L20" s="91"/>
      <c r="O20" s="89"/>
      <c r="P20" s="90"/>
      <c r="Q20" s="90"/>
      <c r="R20" s="90"/>
      <c r="S20" s="90"/>
      <c r="T20" s="90"/>
      <c r="U20" s="90"/>
      <c r="V20" s="90"/>
      <c r="W20" s="90"/>
      <c r="X20" s="90"/>
      <c r="Y20" s="91"/>
      <c r="AB20" s="89"/>
      <c r="AC20" s="90"/>
      <c r="AD20" s="90"/>
      <c r="AE20" s="90"/>
      <c r="AF20" s="90"/>
      <c r="AG20" s="90"/>
      <c r="AH20" s="90"/>
      <c r="AI20" s="90"/>
      <c r="AJ20" s="90"/>
      <c r="AK20" s="90"/>
      <c r="AL20" s="91"/>
    </row>
    <row r="21" spans="2:47" x14ac:dyDescent="0.2">
      <c r="B21" s="89"/>
      <c r="C21" s="90"/>
      <c r="D21" s="90"/>
      <c r="E21" s="90"/>
      <c r="F21" s="90"/>
      <c r="G21" s="90"/>
      <c r="H21" s="90"/>
      <c r="I21" s="90"/>
      <c r="J21" s="90"/>
      <c r="K21" s="90"/>
      <c r="L21" s="91"/>
      <c r="O21" s="89"/>
      <c r="P21" s="90"/>
      <c r="Q21" s="90"/>
      <c r="R21" s="90"/>
      <c r="S21" s="90"/>
      <c r="T21" s="90"/>
      <c r="U21" s="90"/>
      <c r="V21" s="90"/>
      <c r="W21" s="90"/>
      <c r="X21" s="90"/>
      <c r="Y21" s="91"/>
      <c r="AB21" s="89"/>
      <c r="AC21" s="90"/>
      <c r="AD21" s="90"/>
      <c r="AE21" s="90"/>
      <c r="AF21" s="90"/>
      <c r="AG21" s="90"/>
      <c r="AH21" s="90"/>
      <c r="AI21" s="90"/>
      <c r="AJ21" s="90"/>
      <c r="AK21" s="90"/>
      <c r="AL21" s="91"/>
      <c r="AR21" s="35" t="s">
        <v>66</v>
      </c>
    </row>
    <row r="22" spans="2:47" x14ac:dyDescent="0.2">
      <c r="B22" s="89"/>
      <c r="C22" s="90"/>
      <c r="D22" s="90"/>
      <c r="E22" s="90"/>
      <c r="F22" s="90"/>
      <c r="G22" s="90"/>
      <c r="H22" s="90"/>
      <c r="I22" s="90"/>
      <c r="J22" s="90"/>
      <c r="K22" s="90"/>
      <c r="L22" s="91"/>
      <c r="O22" s="89"/>
      <c r="P22" s="90"/>
      <c r="Q22" s="90"/>
      <c r="R22" s="90"/>
      <c r="S22" s="90"/>
      <c r="T22" s="90"/>
      <c r="U22" s="90"/>
      <c r="V22" s="90"/>
      <c r="W22" s="90"/>
      <c r="X22" s="90"/>
      <c r="Y22" s="91"/>
      <c r="AB22" s="89"/>
      <c r="AC22" s="90"/>
      <c r="AD22" s="90"/>
      <c r="AE22" s="90"/>
      <c r="AF22" s="90"/>
      <c r="AG22" s="90"/>
      <c r="AH22" s="90"/>
      <c r="AI22" s="90"/>
      <c r="AJ22" s="90"/>
      <c r="AK22" s="90"/>
      <c r="AL22" s="91"/>
      <c r="AR22" s="35" t="s">
        <v>46</v>
      </c>
      <c r="AS22" s="35">
        <f>LARGE(Prognoseergebnis!$P$66:$P135,1)</f>
        <v>808</v>
      </c>
      <c r="AT22" s="35" t="str">
        <f>"Peak: "&amp;TEXT(AS22,"#.##0")</f>
        <v>Peak: 808</v>
      </c>
      <c r="AU22" s="35" t="str">
        <f>AT22&amp;AT23</f>
        <v>Peak: 808 am 23.06</v>
      </c>
    </row>
    <row r="23" spans="2:47" x14ac:dyDescent="0.2">
      <c r="B23" s="89"/>
      <c r="C23" s="90"/>
      <c r="D23" s="90"/>
      <c r="E23" s="90"/>
      <c r="F23" s="90"/>
      <c r="G23" s="90"/>
      <c r="H23" s="90"/>
      <c r="I23" s="90"/>
      <c r="J23" s="90"/>
      <c r="K23" s="90"/>
      <c r="L23" s="91"/>
      <c r="O23" s="89"/>
      <c r="P23" s="90"/>
      <c r="Q23" s="90"/>
      <c r="R23" s="90"/>
      <c r="S23" s="90"/>
      <c r="T23" s="90"/>
      <c r="U23" s="90"/>
      <c r="V23" s="90"/>
      <c r="W23" s="90"/>
      <c r="X23" s="90"/>
      <c r="Y23" s="91"/>
      <c r="AB23" s="89"/>
      <c r="AC23" s="90"/>
      <c r="AD23" s="90"/>
      <c r="AE23" s="90"/>
      <c r="AF23" s="90"/>
      <c r="AG23" s="90"/>
      <c r="AH23" s="90"/>
      <c r="AI23" s="90"/>
      <c r="AJ23" s="90"/>
      <c r="AK23" s="90"/>
      <c r="AL23" s="91"/>
      <c r="AR23" s="35" t="s">
        <v>44</v>
      </c>
      <c r="AS23" s="80">
        <f>VLOOKUP(AS22,Prognoseergebnis!P:AB,13,FALSE)</f>
        <v>44370</v>
      </c>
      <c r="AT23" s="35" t="str">
        <f>" am "&amp;TEXT(AS23,"TT.MM")</f>
        <v xml:space="preserve"> am 23.06</v>
      </c>
    </row>
    <row r="24" spans="2:47" x14ac:dyDescent="0.2">
      <c r="B24" s="89"/>
      <c r="C24" s="90"/>
      <c r="D24" s="90"/>
      <c r="E24" s="90"/>
      <c r="F24" s="90"/>
      <c r="G24" s="90"/>
      <c r="H24" s="90"/>
      <c r="I24" s="90"/>
      <c r="J24" s="90"/>
      <c r="K24" s="90"/>
      <c r="L24" s="91"/>
      <c r="O24" s="89"/>
      <c r="P24" s="90"/>
      <c r="Q24" s="90"/>
      <c r="R24" s="90"/>
      <c r="S24" s="90"/>
      <c r="T24" s="90"/>
      <c r="U24" s="90"/>
      <c r="V24" s="90"/>
      <c r="W24" s="90"/>
      <c r="X24" s="90"/>
      <c r="Y24" s="91"/>
      <c r="AB24" s="89"/>
      <c r="AC24" s="90"/>
      <c r="AD24" s="90"/>
      <c r="AE24" s="90"/>
      <c r="AF24" s="90"/>
      <c r="AG24" s="90"/>
      <c r="AH24" s="90"/>
      <c r="AI24" s="90"/>
      <c r="AJ24" s="90"/>
      <c r="AK24" s="90"/>
      <c r="AL24" s="91"/>
    </row>
    <row r="25" spans="2:47" x14ac:dyDescent="0.2">
      <c r="B25" s="89"/>
      <c r="C25" s="90"/>
      <c r="D25" s="90"/>
      <c r="E25" s="90"/>
      <c r="F25" s="90"/>
      <c r="G25" s="90"/>
      <c r="H25" s="90"/>
      <c r="I25" s="90"/>
      <c r="J25" s="90"/>
      <c r="K25" s="90"/>
      <c r="L25" s="91"/>
      <c r="O25" s="89"/>
      <c r="P25" s="90"/>
      <c r="Q25" s="90"/>
      <c r="R25" s="90"/>
      <c r="S25" s="90"/>
      <c r="T25" s="90"/>
      <c r="U25" s="90"/>
      <c r="V25" s="90"/>
      <c r="W25" s="90"/>
      <c r="X25" s="90"/>
      <c r="Y25" s="91"/>
      <c r="AB25" s="89"/>
      <c r="AC25" s="90"/>
      <c r="AD25" s="90"/>
      <c r="AE25" s="90"/>
      <c r="AF25" s="90"/>
      <c r="AG25" s="90"/>
      <c r="AH25" s="90"/>
      <c r="AI25" s="90"/>
      <c r="AJ25" s="90"/>
      <c r="AK25" s="90"/>
      <c r="AL25" s="91"/>
      <c r="AR25" s="388" t="s">
        <v>67</v>
      </c>
      <c r="AS25" s="388"/>
    </row>
    <row r="26" spans="2:47" x14ac:dyDescent="0.2">
      <c r="B26" s="89"/>
      <c r="C26" s="90"/>
      <c r="D26" s="90"/>
      <c r="E26" s="90"/>
      <c r="F26" s="90"/>
      <c r="G26" s="90"/>
      <c r="H26" s="90"/>
      <c r="I26" s="90"/>
      <c r="J26" s="90"/>
      <c r="K26" s="90"/>
      <c r="L26" s="91"/>
      <c r="O26" s="89"/>
      <c r="P26" s="90"/>
      <c r="Q26" s="90"/>
      <c r="R26" s="90"/>
      <c r="S26" s="90"/>
      <c r="T26" s="90"/>
      <c r="U26" s="90"/>
      <c r="V26" s="90"/>
      <c r="W26" s="90"/>
      <c r="X26" s="90"/>
      <c r="Y26" s="91"/>
      <c r="AB26" s="89"/>
      <c r="AC26" s="90"/>
      <c r="AD26" s="90"/>
      <c r="AE26" s="90"/>
      <c r="AF26" s="90"/>
      <c r="AG26" s="90"/>
      <c r="AH26" s="90"/>
      <c r="AI26" s="90"/>
      <c r="AJ26" s="90"/>
      <c r="AK26" s="90"/>
      <c r="AL26" s="91"/>
      <c r="AR26" s="35" t="s">
        <v>45</v>
      </c>
      <c r="AS26" s="79">
        <f>LARGE(Prognoseergebnis!Q66:Q135,1)</f>
        <v>295</v>
      </c>
      <c r="AT26" s="79" t="str">
        <f>"Peak: "&amp;TEXT(AS26,"#.##0")</f>
        <v>Peak: 295</v>
      </c>
      <c r="AU26" s="35" t="str">
        <f>AT26&amp;AT27</f>
        <v>Peak: 295 am 23.06</v>
      </c>
    </row>
    <row r="27" spans="2:47" x14ac:dyDescent="0.2">
      <c r="B27" s="89"/>
      <c r="C27" s="90"/>
      <c r="D27" s="90"/>
      <c r="E27" s="90"/>
      <c r="F27" s="90"/>
      <c r="G27" s="90"/>
      <c r="H27" s="90"/>
      <c r="I27" s="90"/>
      <c r="J27" s="90"/>
      <c r="K27" s="90"/>
      <c r="L27" s="91"/>
      <c r="O27" s="89"/>
      <c r="P27" s="90"/>
      <c r="Q27" s="90"/>
      <c r="R27" s="90"/>
      <c r="S27" s="90"/>
      <c r="T27" s="90"/>
      <c r="U27" s="90"/>
      <c r="V27" s="90"/>
      <c r="W27" s="90"/>
      <c r="X27" s="90"/>
      <c r="Y27" s="91"/>
      <c r="AB27" s="89"/>
      <c r="AC27" s="90"/>
      <c r="AD27" s="90"/>
      <c r="AE27" s="90"/>
      <c r="AF27" s="90"/>
      <c r="AG27" s="90"/>
      <c r="AH27" s="90"/>
      <c r="AI27" s="90"/>
      <c r="AJ27" s="90"/>
      <c r="AK27" s="90"/>
      <c r="AL27" s="91"/>
      <c r="AR27" s="35" t="s">
        <v>44</v>
      </c>
      <c r="AS27" s="80">
        <f>VLOOKUP(AS26,Prognoseergebnis!Q:AB,12,FALSE)</f>
        <v>44370</v>
      </c>
      <c r="AT27" s="35" t="str">
        <f>" am "&amp;TEXT(AS27,"TT.MM")</f>
        <v xml:space="preserve"> am 23.06</v>
      </c>
    </row>
    <row r="28" spans="2:47" x14ac:dyDescent="0.2">
      <c r="B28" s="89"/>
      <c r="C28" s="90"/>
      <c r="D28" s="90"/>
      <c r="E28" s="90"/>
      <c r="F28" s="90"/>
      <c r="G28" s="90"/>
      <c r="H28" s="90"/>
      <c r="I28" s="90"/>
      <c r="J28" s="90"/>
      <c r="K28" s="90"/>
      <c r="L28" s="91"/>
      <c r="O28" s="89"/>
      <c r="P28" s="90"/>
      <c r="Q28" s="90"/>
      <c r="R28" s="90"/>
      <c r="S28" s="90"/>
      <c r="T28" s="90"/>
      <c r="U28" s="90"/>
      <c r="V28" s="90"/>
      <c r="W28" s="90"/>
      <c r="X28" s="90"/>
      <c r="Y28" s="91"/>
      <c r="AB28" s="89"/>
      <c r="AC28" s="90"/>
      <c r="AD28" s="90"/>
      <c r="AE28" s="90"/>
      <c r="AF28" s="90"/>
      <c r="AG28" s="90"/>
      <c r="AH28" s="90"/>
      <c r="AI28" s="90"/>
      <c r="AJ28" s="90"/>
      <c r="AK28" s="90"/>
      <c r="AL28" s="91"/>
    </row>
    <row r="29" spans="2:47" x14ac:dyDescent="0.2">
      <c r="B29" s="89"/>
      <c r="C29" s="90"/>
      <c r="D29" s="90"/>
      <c r="E29" s="90"/>
      <c r="F29" s="90"/>
      <c r="G29" s="90"/>
      <c r="H29" s="90"/>
      <c r="I29" s="90"/>
      <c r="J29" s="90"/>
      <c r="K29" s="90"/>
      <c r="L29" s="91"/>
      <c r="O29" s="89"/>
      <c r="P29" s="90"/>
      <c r="Q29" s="90"/>
      <c r="R29" s="90"/>
      <c r="S29" s="90"/>
      <c r="T29" s="90"/>
      <c r="U29" s="90"/>
      <c r="V29" s="90"/>
      <c r="W29" s="90"/>
      <c r="X29" s="90"/>
      <c r="Y29" s="91"/>
      <c r="AB29" s="89"/>
      <c r="AC29" s="90"/>
      <c r="AD29" s="90"/>
      <c r="AE29" s="90"/>
      <c r="AF29" s="90"/>
      <c r="AG29" s="90"/>
      <c r="AH29" s="90"/>
      <c r="AI29" s="90"/>
      <c r="AJ29" s="90"/>
      <c r="AK29" s="90"/>
      <c r="AL29" s="91"/>
      <c r="AR29" s="35" t="s">
        <v>68</v>
      </c>
    </row>
    <row r="30" spans="2:47" x14ac:dyDescent="0.2">
      <c r="B30" s="89"/>
      <c r="C30" s="90"/>
      <c r="D30" s="90"/>
      <c r="E30" s="90"/>
      <c r="F30" s="90"/>
      <c r="G30" s="90"/>
      <c r="H30" s="90"/>
      <c r="I30" s="90"/>
      <c r="J30" s="90"/>
      <c r="K30" s="90"/>
      <c r="L30" s="91"/>
      <c r="O30" s="89"/>
      <c r="P30" s="90"/>
      <c r="Q30" s="90"/>
      <c r="R30" s="90"/>
      <c r="S30" s="90"/>
      <c r="T30" s="90"/>
      <c r="U30" s="90"/>
      <c r="V30" s="90"/>
      <c r="W30" s="90"/>
      <c r="X30" s="90"/>
      <c r="Y30" s="91"/>
      <c r="AB30" s="89"/>
      <c r="AC30" s="90"/>
      <c r="AD30" s="90"/>
      <c r="AE30" s="90"/>
      <c r="AF30" s="90"/>
      <c r="AG30" s="90"/>
      <c r="AH30" s="90"/>
      <c r="AI30" s="90"/>
      <c r="AJ30" s="90"/>
      <c r="AK30" s="90"/>
      <c r="AL30" s="91"/>
      <c r="AR30" s="35" t="s">
        <v>46</v>
      </c>
      <c r="AS30" s="35">
        <f>LARGE(Prognoseergebnis!$R$66:$R135,1)</f>
        <v>102</v>
      </c>
      <c r="AT30" s="35" t="str">
        <f>"Peak: "&amp;TEXT(AS30,"#.##0")</f>
        <v>Peak: 102</v>
      </c>
      <c r="AU30" s="35" t="str">
        <f>AT30&amp;AT31</f>
        <v>Peak: 102 am 22.06</v>
      </c>
    </row>
    <row r="31" spans="2:47" x14ac:dyDescent="0.2">
      <c r="B31" s="89"/>
      <c r="C31" s="90"/>
      <c r="D31" s="90"/>
      <c r="E31" s="90"/>
      <c r="F31" s="90"/>
      <c r="G31" s="90"/>
      <c r="H31" s="90"/>
      <c r="I31" s="90"/>
      <c r="J31" s="90"/>
      <c r="K31" s="90"/>
      <c r="L31" s="91"/>
      <c r="O31" s="89"/>
      <c r="P31" s="90"/>
      <c r="Q31" s="90"/>
      <c r="R31" s="90"/>
      <c r="S31" s="90"/>
      <c r="T31" s="90"/>
      <c r="U31" s="90"/>
      <c r="V31" s="90"/>
      <c r="W31" s="90"/>
      <c r="X31" s="90"/>
      <c r="Y31" s="91"/>
      <c r="AB31" s="89"/>
      <c r="AC31" s="90"/>
      <c r="AD31" s="90"/>
      <c r="AE31" s="90"/>
      <c r="AF31" s="90"/>
      <c r="AG31" s="90"/>
      <c r="AH31" s="90"/>
      <c r="AI31" s="90"/>
      <c r="AJ31" s="90"/>
      <c r="AK31" s="90"/>
      <c r="AL31" s="91"/>
      <c r="AR31" s="35" t="s">
        <v>44</v>
      </c>
      <c r="AS31" s="80">
        <f>VLOOKUP(AS30,Prognoseergebnis!R:AB,11,FALSE)</f>
        <v>44369</v>
      </c>
      <c r="AT31" s="35" t="str">
        <f>" am "&amp;TEXT(AS31,"TT.MM")</f>
        <v xml:space="preserve"> am 22.06</v>
      </c>
    </row>
    <row r="32" spans="2:47" x14ac:dyDescent="0.2">
      <c r="B32" s="89"/>
      <c r="C32" s="90"/>
      <c r="D32" s="90"/>
      <c r="E32" s="90"/>
      <c r="F32" s="90"/>
      <c r="G32" s="90"/>
      <c r="H32" s="90"/>
      <c r="I32" s="90"/>
      <c r="J32" s="90"/>
      <c r="K32" s="90"/>
      <c r="L32" s="91"/>
      <c r="O32" s="89"/>
      <c r="P32" s="90"/>
      <c r="Q32" s="90"/>
      <c r="R32" s="90"/>
      <c r="S32" s="90"/>
      <c r="T32" s="90"/>
      <c r="U32" s="90"/>
      <c r="V32" s="90"/>
      <c r="W32" s="90"/>
      <c r="X32" s="90"/>
      <c r="Y32" s="91"/>
      <c r="AB32" s="89"/>
      <c r="AC32" s="90"/>
      <c r="AD32" s="90"/>
      <c r="AE32" s="90"/>
      <c r="AF32" s="90"/>
      <c r="AG32" s="90"/>
      <c r="AH32" s="90"/>
      <c r="AI32" s="90"/>
      <c r="AJ32" s="90"/>
      <c r="AK32" s="90"/>
      <c r="AL32" s="91"/>
    </row>
    <row r="33" spans="2:38" x14ac:dyDescent="0.2">
      <c r="B33" s="89"/>
      <c r="C33" s="90"/>
      <c r="D33" s="90"/>
      <c r="E33" s="90"/>
      <c r="F33" s="90"/>
      <c r="G33" s="90"/>
      <c r="H33" s="90"/>
      <c r="I33" s="90"/>
      <c r="J33" s="90"/>
      <c r="K33" s="90"/>
      <c r="L33" s="91"/>
      <c r="O33" s="89"/>
      <c r="P33" s="90"/>
      <c r="Q33" s="90"/>
      <c r="R33" s="90"/>
      <c r="S33" s="90"/>
      <c r="T33" s="90"/>
      <c r="U33" s="90"/>
      <c r="V33" s="90"/>
      <c r="W33" s="90"/>
      <c r="X33" s="90"/>
      <c r="Y33" s="91"/>
      <c r="AB33" s="89"/>
      <c r="AC33" s="90"/>
      <c r="AD33" s="90"/>
      <c r="AE33" s="90"/>
      <c r="AF33" s="90"/>
      <c r="AG33" s="90"/>
      <c r="AH33" s="90"/>
      <c r="AI33" s="90"/>
      <c r="AJ33" s="90"/>
      <c r="AK33" s="90"/>
      <c r="AL33" s="91"/>
    </row>
    <row r="34" spans="2:38" x14ac:dyDescent="0.2">
      <c r="B34" s="89"/>
      <c r="C34" s="90"/>
      <c r="D34" s="90"/>
      <c r="E34" s="90"/>
      <c r="F34" s="90"/>
      <c r="G34" s="90"/>
      <c r="H34" s="90"/>
      <c r="I34" s="90"/>
      <c r="J34" s="90"/>
      <c r="K34" s="90"/>
      <c r="L34" s="91"/>
      <c r="O34" s="89"/>
      <c r="P34" s="90"/>
      <c r="Q34" s="90"/>
      <c r="R34" s="90"/>
      <c r="S34" s="90"/>
      <c r="T34" s="90"/>
      <c r="U34" s="90"/>
      <c r="V34" s="90"/>
      <c r="W34" s="90"/>
      <c r="X34" s="90"/>
      <c r="Y34" s="91"/>
      <c r="AB34" s="89"/>
      <c r="AC34" s="90"/>
      <c r="AD34" s="90"/>
      <c r="AE34" s="90"/>
      <c r="AF34" s="90"/>
      <c r="AG34" s="90"/>
      <c r="AH34" s="90"/>
      <c r="AI34" s="90"/>
      <c r="AJ34" s="90"/>
      <c r="AK34" s="90"/>
      <c r="AL34" s="91"/>
    </row>
    <row r="35" spans="2:38" x14ac:dyDescent="0.2">
      <c r="B35" s="89"/>
      <c r="C35" s="90"/>
      <c r="D35" s="90"/>
      <c r="E35" s="90"/>
      <c r="F35" s="90"/>
      <c r="G35" s="90"/>
      <c r="H35" s="90"/>
      <c r="I35" s="90"/>
      <c r="J35" s="90"/>
      <c r="K35" s="90"/>
      <c r="L35" s="91"/>
      <c r="O35" s="89"/>
      <c r="P35" s="90"/>
      <c r="Q35" s="90"/>
      <c r="R35" s="90"/>
      <c r="S35" s="90"/>
      <c r="T35" s="90"/>
      <c r="U35" s="90"/>
      <c r="V35" s="90"/>
      <c r="W35" s="90"/>
      <c r="X35" s="90"/>
      <c r="Y35" s="91"/>
      <c r="AB35" s="89"/>
      <c r="AC35" s="90"/>
      <c r="AD35" s="90"/>
      <c r="AE35" s="90"/>
      <c r="AF35" s="90"/>
      <c r="AG35" s="90"/>
      <c r="AH35" s="90"/>
      <c r="AI35" s="90"/>
      <c r="AJ35" s="90"/>
      <c r="AK35" s="90"/>
      <c r="AL35" s="91"/>
    </row>
    <row r="36" spans="2:38" x14ac:dyDescent="0.2">
      <c r="B36" s="89"/>
      <c r="C36" s="90"/>
      <c r="D36" s="90"/>
      <c r="E36" s="90"/>
      <c r="F36" s="90"/>
      <c r="G36" s="90"/>
      <c r="H36" s="90"/>
      <c r="I36" s="90"/>
      <c r="J36" s="90"/>
      <c r="K36" s="90"/>
      <c r="L36" s="91"/>
      <c r="O36" s="89"/>
      <c r="P36" s="90"/>
      <c r="Q36" s="90"/>
      <c r="R36" s="90"/>
      <c r="S36" s="90"/>
      <c r="T36" s="90"/>
      <c r="U36" s="90"/>
      <c r="V36" s="90"/>
      <c r="W36" s="90"/>
      <c r="X36" s="90"/>
      <c r="Y36" s="91"/>
      <c r="AB36" s="89"/>
      <c r="AC36" s="90"/>
      <c r="AD36" s="90"/>
      <c r="AE36" s="90"/>
      <c r="AF36" s="90"/>
      <c r="AG36" s="90"/>
      <c r="AH36" s="90"/>
      <c r="AI36" s="90"/>
      <c r="AJ36" s="90"/>
      <c r="AK36" s="90"/>
      <c r="AL36" s="91"/>
    </row>
    <row r="37" spans="2:38" x14ac:dyDescent="0.2">
      <c r="B37" s="89"/>
      <c r="C37" s="90"/>
      <c r="D37" s="90"/>
      <c r="E37" s="90"/>
      <c r="F37" s="90"/>
      <c r="G37" s="90"/>
      <c r="H37" s="90"/>
      <c r="I37" s="90"/>
      <c r="J37" s="90"/>
      <c r="K37" s="90"/>
      <c r="L37" s="91"/>
      <c r="O37" s="89"/>
      <c r="P37" s="90"/>
      <c r="Q37" s="90"/>
      <c r="R37" s="90"/>
      <c r="S37" s="90"/>
      <c r="T37" s="90"/>
      <c r="U37" s="90"/>
      <c r="V37" s="90"/>
      <c r="W37" s="90"/>
      <c r="X37" s="90"/>
      <c r="Y37" s="91"/>
      <c r="AB37" s="89"/>
      <c r="AC37" s="90"/>
      <c r="AD37" s="90"/>
      <c r="AE37" s="90"/>
      <c r="AF37" s="90"/>
      <c r="AG37" s="90"/>
      <c r="AH37" s="90"/>
      <c r="AI37" s="90"/>
      <c r="AJ37" s="90"/>
      <c r="AK37" s="90"/>
      <c r="AL37" s="91"/>
    </row>
    <row r="38" spans="2:38" x14ac:dyDescent="0.2">
      <c r="B38" s="89"/>
      <c r="C38" s="90"/>
      <c r="D38" s="90"/>
      <c r="E38" s="90"/>
      <c r="F38" s="90"/>
      <c r="G38" s="90"/>
      <c r="H38" s="90"/>
      <c r="I38" s="90"/>
      <c r="J38" s="90"/>
      <c r="K38" s="90"/>
      <c r="L38" s="91"/>
      <c r="O38" s="89"/>
      <c r="P38" s="90"/>
      <c r="Q38" s="90"/>
      <c r="R38" s="90"/>
      <c r="S38" s="90"/>
      <c r="T38" s="90"/>
      <c r="U38" s="90"/>
      <c r="V38" s="90"/>
      <c r="W38" s="90"/>
      <c r="X38" s="90"/>
      <c r="Y38" s="91"/>
      <c r="AB38" s="89"/>
      <c r="AC38" s="90"/>
      <c r="AD38" s="90"/>
      <c r="AE38" s="90"/>
      <c r="AF38" s="90"/>
      <c r="AG38" s="90"/>
      <c r="AH38" s="90"/>
      <c r="AI38" s="90"/>
      <c r="AJ38" s="90"/>
      <c r="AK38" s="90"/>
      <c r="AL38" s="91"/>
    </row>
    <row r="39" spans="2:38" x14ac:dyDescent="0.2">
      <c r="B39" s="89"/>
      <c r="C39" s="90"/>
      <c r="D39" s="90"/>
      <c r="E39" s="90"/>
      <c r="F39" s="90"/>
      <c r="G39" s="90"/>
      <c r="H39" s="90"/>
      <c r="I39" s="90"/>
      <c r="J39" s="90"/>
      <c r="K39" s="90"/>
      <c r="L39" s="91"/>
      <c r="O39" s="89"/>
      <c r="P39" s="90"/>
      <c r="Q39" s="90"/>
      <c r="R39" s="90"/>
      <c r="S39" s="90"/>
      <c r="T39" s="90"/>
      <c r="U39" s="90"/>
      <c r="V39" s="90"/>
      <c r="W39" s="90"/>
      <c r="X39" s="90"/>
      <c r="Y39" s="91"/>
      <c r="AB39" s="89"/>
      <c r="AC39" s="90"/>
      <c r="AD39" s="90"/>
      <c r="AE39" s="90"/>
      <c r="AF39" s="90"/>
      <c r="AG39" s="90"/>
      <c r="AH39" s="90"/>
      <c r="AI39" s="90"/>
      <c r="AJ39" s="90"/>
      <c r="AK39" s="90"/>
      <c r="AL39" s="91"/>
    </row>
    <row r="40" spans="2:38" x14ac:dyDescent="0.2">
      <c r="B40" s="89"/>
      <c r="C40" s="90"/>
      <c r="D40" s="90"/>
      <c r="E40" s="90"/>
      <c r="F40" s="90"/>
      <c r="G40" s="90"/>
      <c r="H40" s="90"/>
      <c r="I40" s="90"/>
      <c r="J40" s="90"/>
      <c r="K40" s="90"/>
      <c r="L40" s="91"/>
      <c r="O40" s="89"/>
      <c r="P40" s="90"/>
      <c r="Q40" s="90"/>
      <c r="R40" s="90"/>
      <c r="S40" s="90"/>
      <c r="T40" s="90"/>
      <c r="U40" s="90"/>
      <c r="V40" s="90"/>
      <c r="W40" s="90"/>
      <c r="X40" s="90"/>
      <c r="Y40" s="91"/>
      <c r="AB40" s="89"/>
      <c r="AC40" s="90"/>
      <c r="AD40" s="90"/>
      <c r="AE40" s="90"/>
      <c r="AF40" s="90"/>
      <c r="AG40" s="90"/>
      <c r="AH40" s="90"/>
      <c r="AI40" s="90"/>
      <c r="AJ40" s="90"/>
      <c r="AK40" s="90"/>
      <c r="AL40" s="91"/>
    </row>
    <row r="41" spans="2:38" x14ac:dyDescent="0.2">
      <c r="B41" s="89"/>
      <c r="C41" s="90"/>
      <c r="D41" s="90"/>
      <c r="E41" s="90"/>
      <c r="F41" s="90"/>
      <c r="G41" s="90"/>
      <c r="H41" s="90"/>
      <c r="I41" s="90"/>
      <c r="J41" s="90"/>
      <c r="K41" s="90"/>
      <c r="L41" s="91"/>
      <c r="O41" s="89"/>
      <c r="P41" s="90"/>
      <c r="Q41" s="90"/>
      <c r="R41" s="90"/>
      <c r="S41" s="90"/>
      <c r="T41" s="90"/>
      <c r="U41" s="90"/>
      <c r="V41" s="90"/>
      <c r="W41" s="90"/>
      <c r="X41" s="90"/>
      <c r="Y41" s="91"/>
      <c r="AB41" s="89"/>
      <c r="AC41" s="90"/>
      <c r="AD41" s="90"/>
      <c r="AE41" s="90"/>
      <c r="AF41" s="90"/>
      <c r="AG41" s="90"/>
      <c r="AH41" s="90"/>
      <c r="AI41" s="90"/>
      <c r="AJ41" s="90"/>
      <c r="AK41" s="90"/>
      <c r="AL41" s="91"/>
    </row>
    <row r="42" spans="2:38" x14ac:dyDescent="0.2">
      <c r="B42" s="89"/>
      <c r="C42" s="90"/>
      <c r="D42" s="90"/>
      <c r="E42" s="90"/>
      <c r="F42" s="90"/>
      <c r="G42" s="90"/>
      <c r="H42" s="90"/>
      <c r="I42" s="90"/>
      <c r="J42" s="90"/>
      <c r="K42" s="90"/>
      <c r="L42" s="91"/>
      <c r="O42" s="89"/>
      <c r="P42" s="90"/>
      <c r="Q42" s="90"/>
      <c r="R42" s="90"/>
      <c r="S42" s="90"/>
      <c r="T42" s="90"/>
      <c r="U42" s="90"/>
      <c r="V42" s="90"/>
      <c r="W42" s="90"/>
      <c r="X42" s="90"/>
      <c r="Y42" s="91"/>
      <c r="AB42" s="89"/>
      <c r="AC42" s="90"/>
      <c r="AD42" s="90"/>
      <c r="AE42" s="90"/>
      <c r="AF42" s="90"/>
      <c r="AG42" s="90"/>
      <c r="AH42" s="90"/>
      <c r="AI42" s="90"/>
      <c r="AJ42" s="90"/>
      <c r="AK42" s="90"/>
      <c r="AL42" s="91"/>
    </row>
    <row r="43" spans="2:38" x14ac:dyDescent="0.2">
      <c r="B43" s="89"/>
      <c r="C43" s="90"/>
      <c r="D43" s="90"/>
      <c r="E43" s="90"/>
      <c r="F43" s="90"/>
      <c r="G43" s="90"/>
      <c r="H43" s="90"/>
      <c r="I43" s="90"/>
      <c r="J43" s="90"/>
      <c r="K43" s="90"/>
      <c r="L43" s="91"/>
      <c r="O43" s="89"/>
      <c r="P43" s="90"/>
      <c r="Q43" s="90"/>
      <c r="R43" s="90"/>
      <c r="S43" s="90"/>
      <c r="T43" s="90"/>
      <c r="U43" s="90"/>
      <c r="V43" s="90"/>
      <c r="W43" s="90"/>
      <c r="X43" s="90"/>
      <c r="Y43" s="91"/>
      <c r="AB43" s="89"/>
      <c r="AC43" s="90"/>
      <c r="AD43" s="90"/>
      <c r="AE43" s="90"/>
      <c r="AF43" s="90"/>
      <c r="AG43" s="90"/>
      <c r="AH43" s="90"/>
      <c r="AI43" s="90"/>
      <c r="AJ43" s="90"/>
      <c r="AK43" s="90"/>
      <c r="AL43" s="91"/>
    </row>
    <row r="44" spans="2:38" x14ac:dyDescent="0.2">
      <c r="B44" s="89"/>
      <c r="C44" s="90"/>
      <c r="D44" s="90"/>
      <c r="E44" s="90"/>
      <c r="F44" s="90"/>
      <c r="G44" s="90"/>
      <c r="H44" s="90"/>
      <c r="I44" s="90"/>
      <c r="J44" s="90"/>
      <c r="K44" s="90"/>
      <c r="L44" s="91"/>
      <c r="O44" s="89"/>
      <c r="P44" s="90"/>
      <c r="Q44" s="90"/>
      <c r="R44" s="90"/>
      <c r="S44" s="90"/>
      <c r="T44" s="90"/>
      <c r="U44" s="90"/>
      <c r="V44" s="90"/>
      <c r="W44" s="90"/>
      <c r="X44" s="90"/>
      <c r="Y44" s="91"/>
      <c r="AB44" s="89"/>
      <c r="AC44" s="90"/>
      <c r="AD44" s="90"/>
      <c r="AE44" s="90"/>
      <c r="AF44" s="90"/>
      <c r="AG44" s="90"/>
      <c r="AH44" s="90"/>
      <c r="AI44" s="90"/>
      <c r="AJ44" s="90"/>
      <c r="AK44" s="90"/>
      <c r="AL44" s="91"/>
    </row>
    <row r="45" spans="2:38" x14ac:dyDescent="0.2">
      <c r="B45" s="89"/>
      <c r="C45" s="90"/>
      <c r="D45" s="90"/>
      <c r="E45" s="90"/>
      <c r="F45" s="90"/>
      <c r="G45" s="90"/>
      <c r="H45" s="90"/>
      <c r="I45" s="90"/>
      <c r="J45" s="90"/>
      <c r="K45" s="90"/>
      <c r="L45" s="91"/>
      <c r="O45" s="89"/>
      <c r="P45" s="90"/>
      <c r="Q45" s="90"/>
      <c r="R45" s="90"/>
      <c r="S45" s="90"/>
      <c r="T45" s="90"/>
      <c r="U45" s="90"/>
      <c r="V45" s="90"/>
      <c r="W45" s="90"/>
      <c r="X45" s="90"/>
      <c r="Y45" s="91"/>
      <c r="AB45" s="89"/>
      <c r="AC45" s="90"/>
      <c r="AD45" s="90"/>
      <c r="AE45" s="90"/>
      <c r="AF45" s="90"/>
      <c r="AG45" s="90"/>
      <c r="AH45" s="90"/>
      <c r="AI45" s="90"/>
      <c r="AJ45" s="90"/>
      <c r="AK45" s="90"/>
      <c r="AL45" s="91"/>
    </row>
    <row r="46" spans="2:38" x14ac:dyDescent="0.2">
      <c r="B46" s="89"/>
      <c r="C46" s="90"/>
      <c r="D46" s="90"/>
      <c r="E46" s="90"/>
      <c r="F46" s="90"/>
      <c r="G46" s="90"/>
      <c r="H46" s="90"/>
      <c r="I46" s="90"/>
      <c r="J46" s="90"/>
      <c r="K46" s="90"/>
      <c r="L46" s="91"/>
      <c r="O46" s="89"/>
      <c r="P46" s="90"/>
      <c r="Q46" s="90"/>
      <c r="R46" s="90"/>
      <c r="S46" s="90"/>
      <c r="T46" s="90"/>
      <c r="U46" s="90"/>
      <c r="V46" s="90"/>
      <c r="W46" s="90"/>
      <c r="X46" s="90"/>
      <c r="Y46" s="91"/>
      <c r="AB46" s="89"/>
      <c r="AC46" s="90"/>
      <c r="AD46" s="90"/>
      <c r="AE46" s="90"/>
      <c r="AF46" s="90"/>
      <c r="AG46" s="90"/>
      <c r="AH46" s="90"/>
      <c r="AI46" s="90"/>
      <c r="AJ46" s="90"/>
      <c r="AK46" s="90"/>
      <c r="AL46" s="91"/>
    </row>
    <row r="47" spans="2:38" x14ac:dyDescent="0.2">
      <c r="B47" s="89"/>
      <c r="C47" s="90"/>
      <c r="D47" s="90"/>
      <c r="E47" s="90"/>
      <c r="F47" s="90"/>
      <c r="G47" s="90"/>
      <c r="H47" s="90"/>
      <c r="I47" s="90"/>
      <c r="J47" s="90"/>
      <c r="K47" s="90"/>
      <c r="L47" s="91"/>
      <c r="O47" s="89"/>
      <c r="P47" s="90"/>
      <c r="Q47" s="90"/>
      <c r="R47" s="90"/>
      <c r="S47" s="90"/>
      <c r="T47" s="90"/>
      <c r="U47" s="90"/>
      <c r="V47" s="90"/>
      <c r="W47" s="90"/>
      <c r="X47" s="90"/>
      <c r="Y47" s="91"/>
      <c r="AB47" s="89"/>
      <c r="AC47" s="90"/>
      <c r="AD47" s="90"/>
      <c r="AE47" s="90"/>
      <c r="AF47" s="90"/>
      <c r="AG47" s="90"/>
      <c r="AH47" s="90"/>
      <c r="AI47" s="90"/>
      <c r="AJ47" s="90"/>
      <c r="AK47" s="90"/>
      <c r="AL47" s="91"/>
    </row>
    <row r="48" spans="2:38" x14ac:dyDescent="0.2">
      <c r="B48" s="89"/>
      <c r="C48" s="90"/>
      <c r="D48" s="90"/>
      <c r="E48" s="90"/>
      <c r="F48" s="90"/>
      <c r="G48" s="90"/>
      <c r="H48" s="90"/>
      <c r="I48" s="90"/>
      <c r="J48" s="90"/>
      <c r="K48" s="90"/>
      <c r="L48" s="91"/>
      <c r="O48" s="89"/>
      <c r="P48" s="90"/>
      <c r="Q48" s="90"/>
      <c r="R48" s="90"/>
      <c r="S48" s="90"/>
      <c r="T48" s="90"/>
      <c r="U48" s="90"/>
      <c r="V48" s="90"/>
      <c r="W48" s="90"/>
      <c r="X48" s="90"/>
      <c r="Y48" s="91"/>
      <c r="AB48" s="89"/>
      <c r="AC48" s="90"/>
      <c r="AD48" s="90"/>
      <c r="AE48" s="90"/>
      <c r="AF48" s="90"/>
      <c r="AG48" s="90"/>
      <c r="AH48" s="90"/>
      <c r="AI48" s="90"/>
      <c r="AJ48" s="90"/>
      <c r="AK48" s="90"/>
      <c r="AL48" s="91"/>
    </row>
    <row r="49" spans="2:38" x14ac:dyDescent="0.2">
      <c r="B49" s="89"/>
      <c r="C49" s="90"/>
      <c r="D49" s="90"/>
      <c r="E49" s="90"/>
      <c r="F49" s="90"/>
      <c r="G49" s="90"/>
      <c r="H49" s="90"/>
      <c r="I49" s="90"/>
      <c r="J49" s="90"/>
      <c r="K49" s="90"/>
      <c r="L49" s="91"/>
      <c r="O49" s="89"/>
      <c r="P49" s="90"/>
      <c r="Q49" s="90"/>
      <c r="R49" s="90"/>
      <c r="S49" s="90"/>
      <c r="T49" s="90"/>
      <c r="U49" s="90"/>
      <c r="V49" s="90"/>
      <c r="W49" s="90"/>
      <c r="X49" s="90"/>
      <c r="Y49" s="91"/>
      <c r="AB49" s="89"/>
      <c r="AC49" s="90"/>
      <c r="AD49" s="90"/>
      <c r="AE49" s="90"/>
      <c r="AF49" s="90"/>
      <c r="AG49" s="90"/>
      <c r="AH49" s="90"/>
      <c r="AI49" s="90"/>
      <c r="AJ49" s="90"/>
      <c r="AK49" s="90"/>
      <c r="AL49" s="91"/>
    </row>
    <row r="50" spans="2:38" x14ac:dyDescent="0.2">
      <c r="B50" s="89"/>
      <c r="C50" s="90"/>
      <c r="D50" s="90"/>
      <c r="E50" s="90"/>
      <c r="F50" s="90"/>
      <c r="G50" s="90"/>
      <c r="H50" s="90"/>
      <c r="I50" s="90"/>
      <c r="J50" s="90"/>
      <c r="K50" s="90"/>
      <c r="L50" s="91"/>
      <c r="O50" s="89"/>
      <c r="P50" s="90"/>
      <c r="Q50" s="90"/>
      <c r="R50" s="90"/>
      <c r="S50" s="90"/>
      <c r="T50" s="90"/>
      <c r="U50" s="90"/>
      <c r="V50" s="90"/>
      <c r="W50" s="90"/>
      <c r="X50" s="90"/>
      <c r="Y50" s="91"/>
      <c r="AB50" s="89"/>
      <c r="AC50" s="90"/>
      <c r="AD50" s="90"/>
      <c r="AE50" s="90"/>
      <c r="AF50" s="90"/>
      <c r="AG50" s="90"/>
      <c r="AH50" s="90"/>
      <c r="AI50" s="90"/>
      <c r="AJ50" s="90"/>
      <c r="AK50" s="90"/>
      <c r="AL50" s="91"/>
    </row>
    <row r="51" spans="2:38" x14ac:dyDescent="0.2">
      <c r="B51" s="89"/>
      <c r="C51" s="90"/>
      <c r="D51" s="90"/>
      <c r="E51" s="90"/>
      <c r="F51" s="90"/>
      <c r="G51" s="90"/>
      <c r="H51" s="90"/>
      <c r="I51" s="90"/>
      <c r="J51" s="90"/>
      <c r="K51" s="90"/>
      <c r="L51" s="91"/>
      <c r="O51" s="89"/>
      <c r="P51" s="90"/>
      <c r="Q51" s="90"/>
      <c r="R51" s="90"/>
      <c r="S51" s="90"/>
      <c r="T51" s="90"/>
      <c r="U51" s="90"/>
      <c r="V51" s="90"/>
      <c r="W51" s="90"/>
      <c r="X51" s="90"/>
      <c r="Y51" s="91"/>
      <c r="AB51" s="89"/>
      <c r="AC51" s="90"/>
      <c r="AD51" s="90"/>
      <c r="AE51" s="90"/>
      <c r="AF51" s="90"/>
      <c r="AG51" s="90"/>
      <c r="AH51" s="90"/>
      <c r="AI51" s="90"/>
      <c r="AJ51" s="90"/>
      <c r="AK51" s="90"/>
      <c r="AL51" s="91"/>
    </row>
    <row r="52" spans="2:38" x14ac:dyDescent="0.2">
      <c r="B52" s="89"/>
      <c r="C52" s="90"/>
      <c r="D52" s="90"/>
      <c r="E52" s="90"/>
      <c r="F52" s="90"/>
      <c r="G52" s="90"/>
      <c r="H52" s="90"/>
      <c r="I52" s="90"/>
      <c r="J52" s="90"/>
      <c r="K52" s="90"/>
      <c r="L52" s="91"/>
      <c r="O52" s="89"/>
      <c r="P52" s="90"/>
      <c r="Q52" s="90"/>
      <c r="R52" s="90"/>
      <c r="S52" s="90"/>
      <c r="T52" s="90"/>
      <c r="U52" s="90"/>
      <c r="V52" s="90"/>
      <c r="W52" s="90"/>
      <c r="X52" s="90"/>
      <c r="Y52" s="91"/>
      <c r="AB52" s="89"/>
      <c r="AC52" s="90"/>
      <c r="AD52" s="90"/>
      <c r="AE52" s="90"/>
      <c r="AF52" s="90"/>
      <c r="AG52" s="90"/>
      <c r="AH52" s="90"/>
      <c r="AI52" s="90"/>
      <c r="AJ52" s="90"/>
      <c r="AK52" s="90"/>
      <c r="AL52" s="91"/>
    </row>
    <row r="53" spans="2:38" x14ac:dyDescent="0.2">
      <c r="B53" s="89"/>
      <c r="C53" s="90"/>
      <c r="D53" s="90"/>
      <c r="E53" s="90"/>
      <c r="F53" s="90"/>
      <c r="G53" s="90"/>
      <c r="H53" s="90"/>
      <c r="I53" s="90"/>
      <c r="J53" s="90"/>
      <c r="K53" s="90"/>
      <c r="L53" s="91"/>
      <c r="O53" s="89"/>
      <c r="P53" s="90"/>
      <c r="Q53" s="90"/>
      <c r="R53" s="90"/>
      <c r="S53" s="90"/>
      <c r="T53" s="90"/>
      <c r="U53" s="90"/>
      <c r="V53" s="90"/>
      <c r="W53" s="90"/>
      <c r="X53" s="90"/>
      <c r="Y53" s="91"/>
      <c r="AB53" s="89"/>
      <c r="AC53" s="90"/>
      <c r="AD53" s="90"/>
      <c r="AE53" s="90"/>
      <c r="AF53" s="90"/>
      <c r="AG53" s="90"/>
      <c r="AH53" s="90"/>
      <c r="AI53" s="90"/>
      <c r="AJ53" s="90"/>
      <c r="AK53" s="90"/>
      <c r="AL53" s="91"/>
    </row>
    <row r="54" spans="2:38" x14ac:dyDescent="0.2">
      <c r="B54" s="89"/>
      <c r="C54" s="90"/>
      <c r="D54" s="90"/>
      <c r="E54" s="90"/>
      <c r="F54" s="90"/>
      <c r="G54" s="90"/>
      <c r="H54" s="90"/>
      <c r="I54" s="90"/>
      <c r="J54" s="90"/>
      <c r="K54" s="90"/>
      <c r="L54" s="91"/>
      <c r="O54" s="89"/>
      <c r="P54" s="90"/>
      <c r="Q54" s="90"/>
      <c r="R54" s="90"/>
      <c r="S54" s="90"/>
      <c r="T54" s="90"/>
      <c r="U54" s="90"/>
      <c r="V54" s="90"/>
      <c r="W54" s="90"/>
      <c r="X54" s="90"/>
      <c r="Y54" s="91"/>
      <c r="AB54" s="89"/>
      <c r="AC54" s="90"/>
      <c r="AD54" s="90"/>
      <c r="AE54" s="90"/>
      <c r="AF54" s="90"/>
      <c r="AG54" s="90"/>
      <c r="AH54" s="90"/>
      <c r="AI54" s="90"/>
      <c r="AJ54" s="90"/>
      <c r="AK54" s="90"/>
      <c r="AL54" s="91"/>
    </row>
    <row r="55" spans="2:38" x14ac:dyDescent="0.2">
      <c r="B55" s="89"/>
      <c r="C55" s="90"/>
      <c r="D55" s="90"/>
      <c r="E55" s="90"/>
      <c r="F55" s="90"/>
      <c r="G55" s="90"/>
      <c r="H55" s="90"/>
      <c r="I55" s="90"/>
      <c r="J55" s="90"/>
      <c r="K55" s="90"/>
      <c r="L55" s="91"/>
      <c r="O55" s="89"/>
      <c r="P55" s="90"/>
      <c r="Q55" s="90"/>
      <c r="R55" s="90"/>
      <c r="S55" s="90"/>
      <c r="T55" s="90"/>
      <c r="U55" s="90"/>
      <c r="V55" s="90"/>
      <c r="W55" s="90"/>
      <c r="X55" s="90"/>
      <c r="Y55" s="91"/>
      <c r="AB55" s="89"/>
      <c r="AC55" s="90"/>
      <c r="AD55" s="90"/>
      <c r="AE55" s="90"/>
      <c r="AF55" s="90"/>
      <c r="AG55" s="90"/>
      <c r="AH55" s="90"/>
      <c r="AI55" s="90"/>
      <c r="AJ55" s="90"/>
      <c r="AK55" s="90"/>
      <c r="AL55" s="91"/>
    </row>
    <row r="56" spans="2:38" x14ac:dyDescent="0.2">
      <c r="B56" s="89"/>
      <c r="C56" s="90"/>
      <c r="D56" s="90"/>
      <c r="E56" s="90"/>
      <c r="F56" s="90"/>
      <c r="G56" s="90"/>
      <c r="H56" s="90"/>
      <c r="I56" s="90"/>
      <c r="J56" s="90"/>
      <c r="K56" s="90"/>
      <c r="L56" s="91"/>
      <c r="O56" s="89"/>
      <c r="P56" s="90"/>
      <c r="Q56" s="90"/>
      <c r="R56" s="90"/>
      <c r="S56" s="90"/>
      <c r="T56" s="90"/>
      <c r="U56" s="90"/>
      <c r="V56" s="90"/>
      <c r="W56" s="90"/>
      <c r="X56" s="90"/>
      <c r="Y56" s="91"/>
      <c r="AB56" s="89"/>
      <c r="AC56" s="90"/>
      <c r="AD56" s="90"/>
      <c r="AE56" s="90"/>
      <c r="AF56" s="90"/>
      <c r="AG56" s="90"/>
      <c r="AH56" s="90"/>
      <c r="AI56" s="90"/>
      <c r="AJ56" s="90"/>
      <c r="AK56" s="90"/>
      <c r="AL56" s="91"/>
    </row>
    <row r="57" spans="2:38" x14ac:dyDescent="0.2">
      <c r="B57" s="89"/>
      <c r="C57" s="90"/>
      <c r="D57" s="90"/>
      <c r="E57" s="90"/>
      <c r="F57" s="90"/>
      <c r="G57" s="90"/>
      <c r="H57" s="90"/>
      <c r="I57" s="90"/>
      <c r="J57" s="90"/>
      <c r="K57" s="90"/>
      <c r="L57" s="91"/>
      <c r="O57" s="89"/>
      <c r="P57" s="90"/>
      <c r="Q57" s="90"/>
      <c r="R57" s="90"/>
      <c r="S57" s="90"/>
      <c r="T57" s="90"/>
      <c r="U57" s="90"/>
      <c r="V57" s="90"/>
      <c r="W57" s="90"/>
      <c r="X57" s="90"/>
      <c r="Y57" s="91"/>
      <c r="AB57" s="89"/>
      <c r="AC57" s="90"/>
      <c r="AD57" s="90"/>
      <c r="AE57" s="90"/>
      <c r="AF57" s="90"/>
      <c r="AG57" s="90"/>
      <c r="AH57" s="90"/>
      <c r="AI57" s="90"/>
      <c r="AJ57" s="90"/>
      <c r="AK57" s="90"/>
      <c r="AL57" s="91"/>
    </row>
    <row r="58" spans="2:38" x14ac:dyDescent="0.2">
      <c r="B58" s="89"/>
      <c r="C58" s="90"/>
      <c r="D58" s="90"/>
      <c r="E58" s="90"/>
      <c r="F58" s="90"/>
      <c r="G58" s="90"/>
      <c r="H58" s="90"/>
      <c r="I58" s="90"/>
      <c r="J58" s="90"/>
      <c r="K58" s="90"/>
      <c r="L58" s="91"/>
      <c r="O58" s="89"/>
      <c r="P58" s="90"/>
      <c r="Q58" s="90"/>
      <c r="R58" s="90"/>
      <c r="S58" s="90"/>
      <c r="T58" s="90"/>
      <c r="U58" s="90"/>
      <c r="V58" s="90"/>
      <c r="W58" s="90"/>
      <c r="X58" s="90"/>
      <c r="Y58" s="91"/>
      <c r="AB58" s="89"/>
      <c r="AC58" s="90"/>
      <c r="AD58" s="90"/>
      <c r="AE58" s="90"/>
      <c r="AF58" s="90"/>
      <c r="AG58" s="90"/>
      <c r="AH58" s="90"/>
      <c r="AI58" s="90"/>
      <c r="AJ58" s="90"/>
      <c r="AK58" s="90"/>
      <c r="AL58" s="91"/>
    </row>
    <row r="59" spans="2:38" x14ac:dyDescent="0.2">
      <c r="B59" s="89"/>
      <c r="C59" s="90"/>
      <c r="D59" s="90"/>
      <c r="E59" s="90"/>
      <c r="F59" s="90"/>
      <c r="G59" s="90"/>
      <c r="H59" s="90"/>
      <c r="I59" s="90"/>
      <c r="J59" s="90"/>
      <c r="K59" s="90"/>
      <c r="L59" s="91"/>
      <c r="O59" s="89"/>
      <c r="P59" s="90"/>
      <c r="Q59" s="90"/>
      <c r="R59" s="90"/>
      <c r="S59" s="90"/>
      <c r="T59" s="90"/>
      <c r="U59" s="90"/>
      <c r="V59" s="90"/>
      <c r="W59" s="90"/>
      <c r="X59" s="90"/>
      <c r="Y59" s="91"/>
      <c r="AB59" s="89"/>
      <c r="AC59" s="90"/>
      <c r="AD59" s="90"/>
      <c r="AE59" s="90"/>
      <c r="AF59" s="90"/>
      <c r="AG59" s="90"/>
      <c r="AH59" s="90"/>
      <c r="AI59" s="90"/>
      <c r="AJ59" s="90"/>
      <c r="AK59" s="90"/>
      <c r="AL59" s="91"/>
    </row>
    <row r="60" spans="2:38" x14ac:dyDescent="0.2">
      <c r="B60" s="89"/>
      <c r="C60" s="90"/>
      <c r="D60" s="90"/>
      <c r="E60" s="90"/>
      <c r="F60" s="90"/>
      <c r="G60" s="90"/>
      <c r="H60" s="90"/>
      <c r="I60" s="90"/>
      <c r="J60" s="90"/>
      <c r="K60" s="90"/>
      <c r="L60" s="91"/>
      <c r="O60" s="89"/>
      <c r="P60" s="90"/>
      <c r="Q60" s="90"/>
      <c r="R60" s="90"/>
      <c r="S60" s="90"/>
      <c r="T60" s="90"/>
      <c r="U60" s="90"/>
      <c r="V60" s="90"/>
      <c r="W60" s="90"/>
      <c r="X60" s="90"/>
      <c r="Y60" s="91"/>
      <c r="AB60" s="89"/>
      <c r="AC60" s="90"/>
      <c r="AD60" s="90"/>
      <c r="AE60" s="90"/>
      <c r="AF60" s="90"/>
      <c r="AG60" s="90"/>
      <c r="AH60" s="90"/>
      <c r="AI60" s="90"/>
      <c r="AJ60" s="90"/>
      <c r="AK60" s="90"/>
      <c r="AL60" s="91"/>
    </row>
    <row r="61" spans="2:38" x14ac:dyDescent="0.2">
      <c r="B61" s="89"/>
      <c r="C61" s="90"/>
      <c r="D61" s="90"/>
      <c r="E61" s="90"/>
      <c r="F61" s="90"/>
      <c r="G61" s="90"/>
      <c r="H61" s="90"/>
      <c r="I61" s="90"/>
      <c r="J61" s="90"/>
      <c r="K61" s="90"/>
      <c r="L61" s="91"/>
      <c r="O61" s="89"/>
      <c r="P61" s="90"/>
      <c r="Q61" s="90"/>
      <c r="R61" s="90"/>
      <c r="S61" s="90"/>
      <c r="T61" s="90"/>
      <c r="U61" s="90"/>
      <c r="V61" s="90"/>
      <c r="W61" s="90"/>
      <c r="X61" s="90"/>
      <c r="Y61" s="91"/>
      <c r="AB61" s="89"/>
      <c r="AC61" s="90"/>
      <c r="AD61" s="90"/>
      <c r="AE61" s="90"/>
      <c r="AF61" s="90"/>
      <c r="AG61" s="90"/>
      <c r="AH61" s="90"/>
      <c r="AI61" s="90"/>
      <c r="AJ61" s="90"/>
      <c r="AK61" s="90"/>
      <c r="AL61" s="91"/>
    </row>
    <row r="62" spans="2:38" x14ac:dyDescent="0.2">
      <c r="B62" s="89"/>
      <c r="C62" s="90"/>
      <c r="D62" s="90"/>
      <c r="E62" s="90"/>
      <c r="F62" s="90"/>
      <c r="G62" s="90"/>
      <c r="H62" s="90"/>
      <c r="I62" s="90"/>
      <c r="J62" s="90"/>
      <c r="K62" s="90"/>
      <c r="L62" s="91"/>
      <c r="O62" s="89"/>
      <c r="P62" s="90"/>
      <c r="Q62" s="90"/>
      <c r="R62" s="90"/>
      <c r="S62" s="90"/>
      <c r="T62" s="90"/>
      <c r="U62" s="90"/>
      <c r="V62" s="90"/>
      <c r="W62" s="90"/>
      <c r="X62" s="90"/>
      <c r="Y62" s="91"/>
      <c r="AB62" s="89"/>
      <c r="AC62" s="90"/>
      <c r="AD62" s="90"/>
      <c r="AE62" s="90"/>
      <c r="AF62" s="90"/>
      <c r="AG62" s="90"/>
      <c r="AH62" s="90"/>
      <c r="AI62" s="90"/>
      <c r="AJ62" s="90"/>
      <c r="AK62" s="90"/>
      <c r="AL62" s="91"/>
    </row>
    <row r="63" spans="2:38" x14ac:dyDescent="0.2">
      <c r="B63" s="89"/>
      <c r="C63" s="90"/>
      <c r="D63" s="90"/>
      <c r="E63" s="90"/>
      <c r="F63" s="90"/>
      <c r="G63" s="90"/>
      <c r="H63" s="90"/>
      <c r="I63" s="90"/>
      <c r="J63" s="90"/>
      <c r="K63" s="90"/>
      <c r="L63" s="91"/>
      <c r="O63" s="89"/>
      <c r="P63" s="90"/>
      <c r="Q63" s="90"/>
      <c r="R63" s="90"/>
      <c r="S63" s="90"/>
      <c r="T63" s="90"/>
      <c r="U63" s="90"/>
      <c r="V63" s="90"/>
      <c r="W63" s="90"/>
      <c r="X63" s="90"/>
      <c r="Y63" s="91"/>
      <c r="AB63" s="89"/>
      <c r="AC63" s="90"/>
      <c r="AD63" s="90"/>
      <c r="AE63" s="90"/>
      <c r="AF63" s="90"/>
      <c r="AG63" s="90"/>
      <c r="AH63" s="90"/>
      <c r="AI63" s="90"/>
      <c r="AJ63" s="90"/>
      <c r="AK63" s="90"/>
      <c r="AL63" s="91"/>
    </row>
    <row r="64" spans="2:38" x14ac:dyDescent="0.2">
      <c r="B64" s="89"/>
      <c r="C64" s="90"/>
      <c r="D64" s="90"/>
      <c r="E64" s="90"/>
      <c r="F64" s="90"/>
      <c r="G64" s="90"/>
      <c r="H64" s="90"/>
      <c r="I64" s="90"/>
      <c r="J64" s="90"/>
      <c r="K64" s="90"/>
      <c r="L64" s="91"/>
      <c r="O64" s="89"/>
      <c r="P64" s="90"/>
      <c r="Q64" s="90"/>
      <c r="R64" s="90"/>
      <c r="S64" s="90"/>
      <c r="T64" s="90"/>
      <c r="U64" s="90"/>
      <c r="V64" s="90"/>
      <c r="W64" s="90"/>
      <c r="X64" s="90"/>
      <c r="Y64" s="91"/>
      <c r="AB64" s="89"/>
      <c r="AC64" s="90"/>
      <c r="AD64" s="90"/>
      <c r="AE64" s="90"/>
      <c r="AF64" s="90"/>
      <c r="AG64" s="90"/>
      <c r="AH64" s="90"/>
      <c r="AI64" s="90"/>
      <c r="AJ64" s="90"/>
      <c r="AK64" s="90"/>
      <c r="AL64" s="91"/>
    </row>
    <row r="65" spans="2:38" x14ac:dyDescent="0.2">
      <c r="B65" s="89"/>
      <c r="C65" s="90"/>
      <c r="D65" s="90"/>
      <c r="E65" s="90"/>
      <c r="F65" s="90"/>
      <c r="G65" s="90"/>
      <c r="H65" s="90"/>
      <c r="I65" s="90"/>
      <c r="J65" s="90"/>
      <c r="K65" s="90"/>
      <c r="L65" s="91"/>
      <c r="O65" s="89"/>
      <c r="P65" s="90"/>
      <c r="Q65" s="90"/>
      <c r="R65" s="90"/>
      <c r="S65" s="90"/>
      <c r="T65" s="90"/>
      <c r="U65" s="90"/>
      <c r="V65" s="90"/>
      <c r="W65" s="90"/>
      <c r="X65" s="90"/>
      <c r="Y65" s="91"/>
      <c r="AB65" s="89"/>
      <c r="AC65" s="90"/>
      <c r="AD65" s="90"/>
      <c r="AE65" s="90"/>
      <c r="AF65" s="90"/>
      <c r="AG65" s="90"/>
      <c r="AH65" s="90"/>
      <c r="AI65" s="90"/>
      <c r="AJ65" s="90"/>
      <c r="AK65" s="90"/>
      <c r="AL65" s="91"/>
    </row>
    <row r="66" spans="2:38" x14ac:dyDescent="0.2">
      <c r="B66" s="89"/>
      <c r="C66" s="90"/>
      <c r="D66" s="90"/>
      <c r="E66" s="90"/>
      <c r="F66" s="90"/>
      <c r="G66" s="90"/>
      <c r="H66" s="90"/>
      <c r="I66" s="90"/>
      <c r="J66" s="90"/>
      <c r="K66" s="90"/>
      <c r="L66" s="91"/>
      <c r="O66" s="89"/>
      <c r="P66" s="90"/>
      <c r="Q66" s="90"/>
      <c r="R66" s="90"/>
      <c r="S66" s="90"/>
      <c r="T66" s="90"/>
      <c r="U66" s="90"/>
      <c r="V66" s="90"/>
      <c r="W66" s="90"/>
      <c r="X66" s="90"/>
      <c r="Y66" s="91"/>
      <c r="AB66" s="89"/>
      <c r="AC66" s="90"/>
      <c r="AD66" s="90"/>
      <c r="AE66" s="90"/>
      <c r="AF66" s="90"/>
      <c r="AG66" s="90"/>
      <c r="AH66" s="90"/>
      <c r="AI66" s="90"/>
      <c r="AJ66" s="90"/>
      <c r="AK66" s="90"/>
      <c r="AL66" s="91"/>
    </row>
    <row r="67" spans="2:38" x14ac:dyDescent="0.2">
      <c r="B67" s="89"/>
      <c r="C67" s="90"/>
      <c r="D67" s="90"/>
      <c r="E67" s="90"/>
      <c r="F67" s="90"/>
      <c r="G67" s="90"/>
      <c r="H67" s="90"/>
      <c r="I67" s="90"/>
      <c r="J67" s="90"/>
      <c r="K67" s="90"/>
      <c r="L67" s="91"/>
      <c r="O67" s="89"/>
      <c r="P67" s="90"/>
      <c r="Q67" s="90"/>
      <c r="R67" s="90"/>
      <c r="S67" s="90"/>
      <c r="T67" s="90"/>
      <c r="U67" s="90"/>
      <c r="V67" s="90"/>
      <c r="W67" s="90"/>
      <c r="X67" s="90"/>
      <c r="Y67" s="91"/>
      <c r="AB67" s="89"/>
      <c r="AC67" s="90"/>
      <c r="AD67" s="90"/>
      <c r="AE67" s="90"/>
      <c r="AF67" s="90"/>
      <c r="AG67" s="90"/>
      <c r="AH67" s="90"/>
      <c r="AI67" s="90"/>
      <c r="AJ67" s="90"/>
      <c r="AK67" s="90"/>
      <c r="AL67" s="91"/>
    </row>
    <row r="68" spans="2:38" x14ac:dyDescent="0.2">
      <c r="B68" s="89"/>
      <c r="C68" s="90"/>
      <c r="D68" s="90"/>
      <c r="E68" s="90"/>
      <c r="F68" s="90"/>
      <c r="G68" s="90"/>
      <c r="H68" s="90"/>
      <c r="I68" s="90"/>
      <c r="J68" s="90"/>
      <c r="K68" s="90"/>
      <c r="L68" s="91"/>
      <c r="O68" s="89"/>
      <c r="P68" s="90"/>
      <c r="Q68" s="90"/>
      <c r="R68" s="90"/>
      <c r="S68" s="90"/>
      <c r="T68" s="90"/>
      <c r="U68" s="90"/>
      <c r="V68" s="90"/>
      <c r="W68" s="90"/>
      <c r="X68" s="90"/>
      <c r="Y68" s="91"/>
      <c r="AB68" s="89"/>
      <c r="AC68" s="90"/>
      <c r="AD68" s="90"/>
      <c r="AE68" s="90"/>
      <c r="AF68" s="90"/>
      <c r="AG68" s="90"/>
      <c r="AH68" s="90"/>
      <c r="AI68" s="90"/>
      <c r="AJ68" s="90"/>
      <c r="AK68" s="90"/>
      <c r="AL68" s="91"/>
    </row>
    <row r="69" spans="2:38" x14ac:dyDescent="0.2">
      <c r="B69" s="89"/>
      <c r="C69" s="90"/>
      <c r="D69" s="90"/>
      <c r="E69" s="90"/>
      <c r="F69" s="90"/>
      <c r="G69" s="90"/>
      <c r="H69" s="90"/>
      <c r="I69" s="90"/>
      <c r="J69" s="90"/>
      <c r="K69" s="90"/>
      <c r="L69" s="91"/>
      <c r="O69" s="89"/>
      <c r="P69" s="90"/>
      <c r="Q69" s="90"/>
      <c r="R69" s="90"/>
      <c r="S69" s="90"/>
      <c r="T69" s="90"/>
      <c r="U69" s="90"/>
      <c r="V69" s="90"/>
      <c r="W69" s="90"/>
      <c r="X69" s="90"/>
      <c r="Y69" s="91"/>
      <c r="AB69" s="89"/>
      <c r="AC69" s="90"/>
      <c r="AD69" s="90"/>
      <c r="AE69" s="90"/>
      <c r="AF69" s="90"/>
      <c r="AG69" s="90"/>
      <c r="AH69" s="90"/>
      <c r="AI69" s="90"/>
      <c r="AJ69" s="90"/>
      <c r="AK69" s="90"/>
      <c r="AL69" s="91"/>
    </row>
    <row r="70" spans="2:38" x14ac:dyDescent="0.2">
      <c r="B70" s="89"/>
      <c r="C70" s="90"/>
      <c r="D70" s="90"/>
      <c r="E70" s="90"/>
      <c r="F70" s="90"/>
      <c r="G70" s="90"/>
      <c r="H70" s="90"/>
      <c r="I70" s="90"/>
      <c r="J70" s="90"/>
      <c r="K70" s="90"/>
      <c r="L70" s="91"/>
      <c r="O70" s="89"/>
      <c r="P70" s="90"/>
      <c r="Q70" s="90"/>
      <c r="R70" s="90"/>
      <c r="S70" s="90"/>
      <c r="T70" s="90"/>
      <c r="U70" s="90"/>
      <c r="V70" s="90"/>
      <c r="W70" s="90"/>
      <c r="X70" s="90"/>
      <c r="Y70" s="91"/>
      <c r="AB70" s="89"/>
      <c r="AC70" s="90"/>
      <c r="AD70" s="90"/>
      <c r="AE70" s="90"/>
      <c r="AF70" s="90"/>
      <c r="AG70" s="90"/>
      <c r="AH70" s="90"/>
      <c r="AI70" s="90"/>
      <c r="AJ70" s="90"/>
      <c r="AK70" s="90"/>
      <c r="AL70" s="91"/>
    </row>
    <row r="71" spans="2:38" x14ac:dyDescent="0.2">
      <c r="B71" s="89"/>
      <c r="C71" s="90"/>
      <c r="D71" s="90"/>
      <c r="E71" s="90"/>
      <c r="F71" s="90"/>
      <c r="G71" s="90"/>
      <c r="H71" s="90"/>
      <c r="I71" s="90"/>
      <c r="J71" s="90"/>
      <c r="K71" s="90"/>
      <c r="L71" s="91"/>
      <c r="O71" s="89"/>
      <c r="P71" s="90"/>
      <c r="Q71" s="90"/>
      <c r="R71" s="90"/>
      <c r="S71" s="90"/>
      <c r="T71" s="90"/>
      <c r="U71" s="90"/>
      <c r="V71" s="90"/>
      <c r="W71" s="90"/>
      <c r="X71" s="90"/>
      <c r="Y71" s="91"/>
      <c r="AB71" s="89"/>
      <c r="AC71" s="90"/>
      <c r="AD71" s="90"/>
      <c r="AE71" s="90"/>
      <c r="AF71" s="90"/>
      <c r="AG71" s="90"/>
      <c r="AH71" s="90"/>
      <c r="AI71" s="90"/>
      <c r="AJ71" s="90"/>
      <c r="AK71" s="90"/>
      <c r="AL71" s="91"/>
    </row>
    <row r="72" spans="2:38" x14ac:dyDescent="0.2">
      <c r="B72" s="89"/>
      <c r="C72" s="90"/>
      <c r="D72" s="90"/>
      <c r="E72" s="90"/>
      <c r="F72" s="90"/>
      <c r="G72" s="90"/>
      <c r="H72" s="90"/>
      <c r="I72" s="90"/>
      <c r="J72" s="90"/>
      <c r="K72" s="90"/>
      <c r="L72" s="91"/>
      <c r="O72" s="89"/>
      <c r="P72" s="90"/>
      <c r="Q72" s="90"/>
      <c r="R72" s="90"/>
      <c r="S72" s="90"/>
      <c r="T72" s="90"/>
      <c r="U72" s="90"/>
      <c r="V72" s="90"/>
      <c r="W72" s="90"/>
      <c r="X72" s="90"/>
      <c r="Y72" s="91"/>
      <c r="AB72" s="89"/>
      <c r="AC72" s="90"/>
      <c r="AD72" s="90"/>
      <c r="AE72" s="90"/>
      <c r="AF72" s="90"/>
      <c r="AG72" s="90"/>
      <c r="AH72" s="90"/>
      <c r="AI72" s="90"/>
      <c r="AJ72" s="90"/>
      <c r="AK72" s="90"/>
      <c r="AL72" s="91"/>
    </row>
    <row r="73" spans="2:38" x14ac:dyDescent="0.2">
      <c r="B73" s="89"/>
      <c r="C73" s="90"/>
      <c r="D73" s="90"/>
      <c r="E73" s="90"/>
      <c r="F73" s="90"/>
      <c r="G73" s="90"/>
      <c r="H73" s="90"/>
      <c r="I73" s="90"/>
      <c r="J73" s="90"/>
      <c r="K73" s="90"/>
      <c r="L73" s="91"/>
      <c r="O73" s="89"/>
      <c r="P73" s="90"/>
      <c r="Q73" s="90"/>
      <c r="R73" s="90"/>
      <c r="S73" s="90"/>
      <c r="T73" s="90"/>
      <c r="U73" s="90"/>
      <c r="V73" s="90"/>
      <c r="W73" s="90"/>
      <c r="X73" s="90"/>
      <c r="Y73" s="91"/>
      <c r="AB73" s="89"/>
      <c r="AC73" s="90"/>
      <c r="AD73" s="90"/>
      <c r="AE73" s="90"/>
      <c r="AF73" s="90"/>
      <c r="AG73" s="90"/>
      <c r="AH73" s="90"/>
      <c r="AI73" s="90"/>
      <c r="AJ73" s="90"/>
      <c r="AK73" s="90"/>
      <c r="AL73" s="91"/>
    </row>
    <row r="74" spans="2:38" x14ac:dyDescent="0.2">
      <c r="B74" s="89"/>
      <c r="C74" s="90"/>
      <c r="D74" s="90"/>
      <c r="E74" s="90"/>
      <c r="F74" s="90"/>
      <c r="G74" s="90"/>
      <c r="H74" s="90"/>
      <c r="I74" s="90"/>
      <c r="J74" s="90"/>
      <c r="K74" s="90"/>
      <c r="L74" s="91"/>
      <c r="O74" s="89"/>
      <c r="P74" s="90"/>
      <c r="Q74" s="90"/>
      <c r="R74" s="90"/>
      <c r="S74" s="90"/>
      <c r="T74" s="90"/>
      <c r="U74" s="90"/>
      <c r="V74" s="90"/>
      <c r="W74" s="90"/>
      <c r="X74" s="90"/>
      <c r="Y74" s="91"/>
      <c r="AB74" s="89"/>
      <c r="AC74" s="90"/>
      <c r="AD74" s="90"/>
      <c r="AE74" s="90"/>
      <c r="AF74" s="90"/>
      <c r="AG74" s="90"/>
      <c r="AH74" s="90"/>
      <c r="AI74" s="90"/>
      <c r="AJ74" s="90"/>
      <c r="AK74" s="90"/>
      <c r="AL74" s="91"/>
    </row>
    <row r="75" spans="2:38" x14ac:dyDescent="0.2">
      <c r="B75" s="89"/>
      <c r="C75" s="90"/>
      <c r="D75" s="90"/>
      <c r="E75" s="90"/>
      <c r="F75" s="90"/>
      <c r="G75" s="90"/>
      <c r="H75" s="90"/>
      <c r="I75" s="90"/>
      <c r="J75" s="90"/>
      <c r="K75" s="90"/>
      <c r="L75" s="91"/>
      <c r="O75" s="89"/>
      <c r="P75" s="90"/>
      <c r="Q75" s="90"/>
      <c r="R75" s="90"/>
      <c r="S75" s="90"/>
      <c r="T75" s="90"/>
      <c r="U75" s="90"/>
      <c r="V75" s="90"/>
      <c r="W75" s="90"/>
      <c r="X75" s="90"/>
      <c r="Y75" s="91"/>
      <c r="AB75" s="89"/>
      <c r="AC75" s="90"/>
      <c r="AD75" s="90"/>
      <c r="AE75" s="90"/>
      <c r="AF75" s="90"/>
      <c r="AG75" s="90"/>
      <c r="AH75" s="90"/>
      <c r="AI75" s="90"/>
      <c r="AJ75" s="90"/>
      <c r="AK75" s="90"/>
      <c r="AL75" s="91"/>
    </row>
    <row r="76" spans="2:38" x14ac:dyDescent="0.2">
      <c r="B76" s="89"/>
      <c r="C76" s="90"/>
      <c r="D76" s="90"/>
      <c r="E76" s="90"/>
      <c r="F76" s="90"/>
      <c r="G76" s="90"/>
      <c r="H76" s="90"/>
      <c r="I76" s="90"/>
      <c r="J76" s="90"/>
      <c r="K76" s="90"/>
      <c r="L76" s="91"/>
      <c r="O76" s="89"/>
      <c r="P76" s="90"/>
      <c r="Q76" s="90"/>
      <c r="R76" s="90"/>
      <c r="S76" s="90"/>
      <c r="T76" s="90"/>
      <c r="U76" s="90"/>
      <c r="V76" s="90"/>
      <c r="W76" s="90"/>
      <c r="X76" s="90"/>
      <c r="Y76" s="91"/>
      <c r="AB76" s="89"/>
      <c r="AC76" s="90"/>
      <c r="AD76" s="90"/>
      <c r="AE76" s="90"/>
      <c r="AF76" s="90"/>
      <c r="AG76" s="90"/>
      <c r="AH76" s="90"/>
      <c r="AI76" s="90"/>
      <c r="AJ76" s="90"/>
      <c r="AK76" s="90"/>
      <c r="AL76" s="91"/>
    </row>
    <row r="77" spans="2:38" x14ac:dyDescent="0.2">
      <c r="B77" s="89"/>
      <c r="C77" s="90"/>
      <c r="D77" s="90"/>
      <c r="E77" s="90"/>
      <c r="F77" s="90"/>
      <c r="G77" s="90"/>
      <c r="H77" s="90"/>
      <c r="I77" s="90"/>
      <c r="J77" s="90"/>
      <c r="K77" s="90"/>
      <c r="L77" s="91"/>
      <c r="O77" s="89"/>
      <c r="P77" s="90"/>
      <c r="Q77" s="90"/>
      <c r="R77" s="90"/>
      <c r="S77" s="90"/>
      <c r="T77" s="90"/>
      <c r="U77" s="90"/>
      <c r="V77" s="90"/>
      <c r="W77" s="90"/>
      <c r="X77" s="90"/>
      <c r="Y77" s="91"/>
      <c r="AB77" s="89"/>
      <c r="AC77" s="90"/>
      <c r="AD77" s="90"/>
      <c r="AE77" s="90"/>
      <c r="AF77" s="90"/>
      <c r="AG77" s="90"/>
      <c r="AH77" s="90"/>
      <c r="AI77" s="90"/>
      <c r="AJ77" s="90"/>
      <c r="AK77" s="90"/>
      <c r="AL77" s="91"/>
    </row>
    <row r="78" spans="2:38" x14ac:dyDescent="0.2">
      <c r="B78" s="89"/>
      <c r="C78" s="90"/>
      <c r="D78" s="90"/>
      <c r="E78" s="90"/>
      <c r="F78" s="90"/>
      <c r="G78" s="90"/>
      <c r="H78" s="90"/>
      <c r="I78" s="90"/>
      <c r="J78" s="90"/>
      <c r="K78" s="90"/>
      <c r="L78" s="91"/>
      <c r="O78" s="89"/>
      <c r="P78" s="90"/>
      <c r="Q78" s="90"/>
      <c r="R78" s="90"/>
      <c r="S78" s="90"/>
      <c r="T78" s="90"/>
      <c r="U78" s="90"/>
      <c r="V78" s="90"/>
      <c r="W78" s="90"/>
      <c r="X78" s="90"/>
      <c r="Y78" s="91"/>
      <c r="AB78" s="89"/>
      <c r="AC78" s="90"/>
      <c r="AD78" s="90"/>
      <c r="AE78" s="90"/>
      <c r="AF78" s="90"/>
      <c r="AG78" s="90"/>
      <c r="AH78" s="90"/>
      <c r="AI78" s="90"/>
      <c r="AJ78" s="90"/>
      <c r="AK78" s="90"/>
      <c r="AL78" s="91"/>
    </row>
    <row r="79" spans="2:38" x14ac:dyDescent="0.2">
      <c r="B79" s="89"/>
      <c r="C79" s="90"/>
      <c r="D79" s="90"/>
      <c r="E79" s="90"/>
      <c r="F79" s="90"/>
      <c r="G79" s="90"/>
      <c r="H79" s="90"/>
      <c r="I79" s="90"/>
      <c r="J79" s="90"/>
      <c r="K79" s="90"/>
      <c r="L79" s="91"/>
      <c r="O79" s="89"/>
      <c r="P79" s="90"/>
      <c r="Q79" s="90"/>
      <c r="R79" s="90"/>
      <c r="S79" s="90"/>
      <c r="T79" s="90"/>
      <c r="U79" s="90"/>
      <c r="V79" s="90"/>
      <c r="W79" s="90"/>
      <c r="X79" s="90"/>
      <c r="Y79" s="91"/>
      <c r="AB79" s="89"/>
      <c r="AC79" s="90"/>
      <c r="AD79" s="90"/>
      <c r="AE79" s="90"/>
      <c r="AF79" s="90"/>
      <c r="AG79" s="90"/>
      <c r="AH79" s="90"/>
      <c r="AI79" s="90"/>
      <c r="AJ79" s="90"/>
      <c r="AK79" s="90"/>
      <c r="AL79" s="91"/>
    </row>
    <row r="80" spans="2:38" x14ac:dyDescent="0.2">
      <c r="B80" s="89"/>
      <c r="C80" s="90"/>
      <c r="D80" s="90"/>
      <c r="E80" s="90"/>
      <c r="F80" s="90"/>
      <c r="G80" s="90"/>
      <c r="H80" s="90"/>
      <c r="I80" s="90"/>
      <c r="J80" s="90"/>
      <c r="K80" s="90"/>
      <c r="L80" s="91"/>
      <c r="O80" s="89"/>
      <c r="P80" s="90"/>
      <c r="Q80" s="90"/>
      <c r="R80" s="90"/>
      <c r="S80" s="90"/>
      <c r="T80" s="90"/>
      <c r="U80" s="90"/>
      <c r="V80" s="90"/>
      <c r="W80" s="90"/>
      <c r="X80" s="90"/>
      <c r="Y80" s="91"/>
      <c r="AB80" s="89"/>
      <c r="AC80" s="90"/>
      <c r="AD80" s="90"/>
      <c r="AE80" s="90"/>
      <c r="AF80" s="90"/>
      <c r="AG80" s="90"/>
      <c r="AH80" s="90"/>
      <c r="AI80" s="90"/>
      <c r="AJ80" s="90"/>
      <c r="AK80" s="90"/>
      <c r="AL80" s="91"/>
    </row>
    <row r="81" spans="2:38" x14ac:dyDescent="0.2">
      <c r="B81" s="89"/>
      <c r="C81" s="90"/>
      <c r="D81" s="90"/>
      <c r="E81" s="90"/>
      <c r="F81" s="90"/>
      <c r="G81" s="90"/>
      <c r="H81" s="90"/>
      <c r="I81" s="90"/>
      <c r="J81" s="90"/>
      <c r="K81" s="90"/>
      <c r="L81" s="91"/>
      <c r="O81" s="89"/>
      <c r="P81" s="90"/>
      <c r="Q81" s="90"/>
      <c r="R81" s="90"/>
      <c r="S81" s="90"/>
      <c r="T81" s="90"/>
      <c r="U81" s="90"/>
      <c r="V81" s="90"/>
      <c r="W81" s="90"/>
      <c r="X81" s="90"/>
      <c r="Y81" s="91"/>
      <c r="AB81" s="89"/>
      <c r="AC81" s="90"/>
      <c r="AD81" s="90"/>
      <c r="AE81" s="90"/>
      <c r="AF81" s="90"/>
      <c r="AG81" s="90"/>
      <c r="AH81" s="90"/>
      <c r="AI81" s="90"/>
      <c r="AJ81" s="90"/>
      <c r="AK81" s="90"/>
      <c r="AL81" s="91"/>
    </row>
    <row r="82" spans="2:38" x14ac:dyDescent="0.2">
      <c r="B82" s="89"/>
      <c r="C82" s="90"/>
      <c r="D82" s="90"/>
      <c r="E82" s="90"/>
      <c r="F82" s="90"/>
      <c r="G82" s="90"/>
      <c r="H82" s="90"/>
      <c r="I82" s="90"/>
      <c r="J82" s="90"/>
      <c r="K82" s="90"/>
      <c r="L82" s="91"/>
      <c r="O82" s="89"/>
      <c r="P82" s="90"/>
      <c r="Q82" s="90"/>
      <c r="R82" s="90"/>
      <c r="S82" s="90"/>
      <c r="T82" s="90"/>
      <c r="U82" s="90"/>
      <c r="V82" s="90"/>
      <c r="W82" s="90"/>
      <c r="X82" s="90"/>
      <c r="Y82" s="91"/>
      <c r="AB82" s="89"/>
      <c r="AC82" s="90"/>
      <c r="AD82" s="90"/>
      <c r="AE82" s="90"/>
      <c r="AF82" s="90"/>
      <c r="AG82" s="90"/>
      <c r="AH82" s="90"/>
      <c r="AI82" s="90"/>
      <c r="AJ82" s="90"/>
      <c r="AK82" s="90"/>
      <c r="AL82" s="91"/>
    </row>
    <row r="83" spans="2:38" x14ac:dyDescent="0.2">
      <c r="B83" s="89"/>
      <c r="C83" s="90"/>
      <c r="D83" s="90"/>
      <c r="E83" s="90"/>
      <c r="F83" s="90"/>
      <c r="G83" s="90"/>
      <c r="H83" s="90"/>
      <c r="I83" s="90"/>
      <c r="J83" s="90"/>
      <c r="K83" s="90"/>
      <c r="L83" s="91"/>
      <c r="O83" s="89"/>
      <c r="P83" s="90"/>
      <c r="Q83" s="90"/>
      <c r="R83" s="90"/>
      <c r="S83" s="90"/>
      <c r="T83" s="90"/>
      <c r="U83" s="90"/>
      <c r="V83" s="90"/>
      <c r="W83" s="90"/>
      <c r="X83" s="90"/>
      <c r="Y83" s="91"/>
      <c r="AB83" s="89"/>
      <c r="AC83" s="90"/>
      <c r="AD83" s="90"/>
      <c r="AE83" s="90"/>
      <c r="AF83" s="90"/>
      <c r="AG83" s="90"/>
      <c r="AH83" s="90"/>
      <c r="AI83" s="90"/>
      <c r="AJ83" s="90"/>
      <c r="AK83" s="90"/>
      <c r="AL83" s="91"/>
    </row>
    <row r="84" spans="2:38" x14ac:dyDescent="0.2">
      <c r="B84" s="89"/>
      <c r="C84" s="90"/>
      <c r="D84" s="90"/>
      <c r="E84" s="90"/>
      <c r="F84" s="90"/>
      <c r="G84" s="90"/>
      <c r="H84" s="90"/>
      <c r="I84" s="90"/>
      <c r="J84" s="90"/>
      <c r="K84" s="90"/>
      <c r="L84" s="91"/>
      <c r="O84" s="89"/>
      <c r="P84" s="90"/>
      <c r="Q84" s="90"/>
      <c r="R84" s="90"/>
      <c r="S84" s="90"/>
      <c r="T84" s="90"/>
      <c r="U84" s="90"/>
      <c r="V84" s="90"/>
      <c r="W84" s="90"/>
      <c r="X84" s="90"/>
      <c r="Y84" s="91"/>
      <c r="AB84" s="89"/>
      <c r="AC84" s="90"/>
      <c r="AD84" s="90"/>
      <c r="AE84" s="90"/>
      <c r="AF84" s="90"/>
      <c r="AG84" s="90"/>
      <c r="AH84" s="90"/>
      <c r="AI84" s="90"/>
      <c r="AJ84" s="90"/>
      <c r="AK84" s="90"/>
      <c r="AL84" s="91"/>
    </row>
    <row r="85" spans="2:38" x14ac:dyDescent="0.2">
      <c r="B85" s="89"/>
      <c r="C85" s="90"/>
      <c r="D85" s="90"/>
      <c r="E85" s="90"/>
      <c r="F85" s="90"/>
      <c r="G85" s="90"/>
      <c r="H85" s="90"/>
      <c r="I85" s="90"/>
      <c r="J85" s="90"/>
      <c r="K85" s="90"/>
      <c r="L85" s="91"/>
      <c r="O85" s="89"/>
      <c r="P85" s="90"/>
      <c r="Q85" s="90"/>
      <c r="R85" s="90"/>
      <c r="S85" s="90"/>
      <c r="T85" s="90"/>
      <c r="U85" s="90"/>
      <c r="V85" s="90"/>
      <c r="W85" s="90"/>
      <c r="X85" s="90"/>
      <c r="Y85" s="91"/>
      <c r="AB85" s="89"/>
      <c r="AC85" s="90"/>
      <c r="AD85" s="90"/>
      <c r="AE85" s="90"/>
      <c r="AF85" s="90"/>
      <c r="AG85" s="90"/>
      <c r="AH85" s="90"/>
      <c r="AI85" s="90"/>
      <c r="AJ85" s="90"/>
      <c r="AK85" s="90"/>
      <c r="AL85" s="91"/>
    </row>
    <row r="86" spans="2:38" x14ac:dyDescent="0.2">
      <c r="B86" s="89"/>
      <c r="C86" s="90"/>
      <c r="D86" s="90"/>
      <c r="E86" s="90"/>
      <c r="F86" s="90"/>
      <c r="G86" s="90"/>
      <c r="H86" s="90"/>
      <c r="I86" s="90"/>
      <c r="J86" s="90"/>
      <c r="K86" s="90"/>
      <c r="L86" s="91"/>
      <c r="O86" s="89"/>
      <c r="P86" s="90"/>
      <c r="Q86" s="90"/>
      <c r="R86" s="90"/>
      <c r="S86" s="90"/>
      <c r="T86" s="90"/>
      <c r="U86" s="90"/>
      <c r="V86" s="90"/>
      <c r="W86" s="90"/>
      <c r="X86" s="90"/>
      <c r="Y86" s="91"/>
      <c r="AB86" s="89"/>
      <c r="AC86" s="90"/>
      <c r="AD86" s="90"/>
      <c r="AE86" s="90"/>
      <c r="AF86" s="90"/>
      <c r="AG86" s="90"/>
      <c r="AH86" s="90"/>
      <c r="AI86" s="90"/>
      <c r="AJ86" s="90"/>
      <c r="AK86" s="90"/>
      <c r="AL86" s="91"/>
    </row>
    <row r="87" spans="2:38" x14ac:dyDescent="0.2">
      <c r="B87" s="89"/>
      <c r="C87" s="90"/>
      <c r="D87" s="90"/>
      <c r="E87" s="90"/>
      <c r="F87" s="90"/>
      <c r="G87" s="90"/>
      <c r="H87" s="90"/>
      <c r="I87" s="90"/>
      <c r="J87" s="90"/>
      <c r="K87" s="90"/>
      <c r="L87" s="91"/>
      <c r="O87" s="89"/>
      <c r="P87" s="90"/>
      <c r="Q87" s="90"/>
      <c r="R87" s="90"/>
      <c r="S87" s="90"/>
      <c r="T87" s="90"/>
      <c r="U87" s="90"/>
      <c r="V87" s="90"/>
      <c r="W87" s="90"/>
      <c r="X87" s="90"/>
      <c r="Y87" s="91"/>
      <c r="AB87" s="89"/>
      <c r="AC87" s="90"/>
      <c r="AD87" s="90"/>
      <c r="AE87" s="90"/>
      <c r="AF87" s="90"/>
      <c r="AG87" s="90"/>
      <c r="AH87" s="90"/>
      <c r="AI87" s="90"/>
      <c r="AJ87" s="90"/>
      <c r="AK87" s="90"/>
      <c r="AL87" s="91"/>
    </row>
    <row r="88" spans="2:38" x14ac:dyDescent="0.2">
      <c r="B88" s="89"/>
      <c r="C88" s="90"/>
      <c r="D88" s="90"/>
      <c r="E88" s="90"/>
      <c r="F88" s="90"/>
      <c r="G88" s="90"/>
      <c r="H88" s="90"/>
      <c r="I88" s="90"/>
      <c r="J88" s="90"/>
      <c r="K88" s="90"/>
      <c r="L88" s="91"/>
      <c r="O88" s="89"/>
      <c r="P88" s="90"/>
      <c r="Q88" s="90"/>
      <c r="R88" s="90"/>
      <c r="S88" s="90"/>
      <c r="T88" s="90"/>
      <c r="U88" s="90"/>
      <c r="V88" s="90"/>
      <c r="W88" s="90"/>
      <c r="X88" s="90"/>
      <c r="Y88" s="91"/>
      <c r="AB88" s="89"/>
      <c r="AC88" s="90"/>
      <c r="AD88" s="90"/>
      <c r="AE88" s="90"/>
      <c r="AF88" s="90"/>
      <c r="AG88" s="90"/>
      <c r="AH88" s="90"/>
      <c r="AI88" s="90"/>
      <c r="AJ88" s="90"/>
      <c r="AK88" s="90"/>
      <c r="AL88" s="91"/>
    </row>
    <row r="89" spans="2:38" x14ac:dyDescent="0.2">
      <c r="B89" s="89"/>
      <c r="C89" s="90"/>
      <c r="D89" s="90"/>
      <c r="E89" s="90"/>
      <c r="F89" s="90"/>
      <c r="G89" s="90"/>
      <c r="H89" s="90"/>
      <c r="I89" s="90"/>
      <c r="J89" s="90"/>
      <c r="K89" s="90"/>
      <c r="L89" s="91"/>
      <c r="O89" s="89"/>
      <c r="P89" s="90"/>
      <c r="Q89" s="90"/>
      <c r="R89" s="90"/>
      <c r="S89" s="90"/>
      <c r="T89" s="90"/>
      <c r="U89" s="90"/>
      <c r="V89" s="90"/>
      <c r="W89" s="90"/>
      <c r="X89" s="90"/>
      <c r="Y89" s="91"/>
      <c r="AB89" s="89"/>
      <c r="AC89" s="90"/>
      <c r="AD89" s="90"/>
      <c r="AE89" s="90"/>
      <c r="AF89" s="90"/>
      <c r="AG89" s="90"/>
      <c r="AH89" s="90"/>
      <c r="AI89" s="90"/>
      <c r="AJ89" s="90"/>
      <c r="AK89" s="90"/>
      <c r="AL89" s="91"/>
    </row>
    <row r="90" spans="2:38" x14ac:dyDescent="0.2">
      <c r="B90" s="89"/>
      <c r="C90" s="90"/>
      <c r="D90" s="90"/>
      <c r="E90" s="90"/>
      <c r="F90" s="90"/>
      <c r="G90" s="90"/>
      <c r="H90" s="90"/>
      <c r="I90" s="90"/>
      <c r="J90" s="90"/>
      <c r="K90" s="90"/>
      <c r="L90" s="91"/>
      <c r="O90" s="89"/>
      <c r="P90" s="90"/>
      <c r="Q90" s="90"/>
      <c r="R90" s="90"/>
      <c r="S90" s="90"/>
      <c r="T90" s="90"/>
      <c r="U90" s="90"/>
      <c r="V90" s="90"/>
      <c r="W90" s="90"/>
      <c r="X90" s="90"/>
      <c r="Y90" s="91"/>
      <c r="AB90" s="89"/>
      <c r="AC90" s="90"/>
      <c r="AD90" s="90"/>
      <c r="AE90" s="90"/>
      <c r="AF90" s="90"/>
      <c r="AG90" s="90"/>
      <c r="AH90" s="90"/>
      <c r="AI90" s="90"/>
      <c r="AJ90" s="90"/>
      <c r="AK90" s="90"/>
      <c r="AL90" s="91"/>
    </row>
    <row r="91" spans="2:38" x14ac:dyDescent="0.2">
      <c r="B91" s="89"/>
      <c r="C91" s="90"/>
      <c r="D91" s="90"/>
      <c r="E91" s="90"/>
      <c r="F91" s="90"/>
      <c r="G91" s="90"/>
      <c r="H91" s="90"/>
      <c r="I91" s="90"/>
      <c r="J91" s="90"/>
      <c r="K91" s="90"/>
      <c r="L91" s="91"/>
      <c r="O91" s="89"/>
      <c r="P91" s="90"/>
      <c r="Q91" s="90"/>
      <c r="R91" s="90"/>
      <c r="S91" s="90"/>
      <c r="T91" s="90"/>
      <c r="U91" s="90"/>
      <c r="V91" s="90"/>
      <c r="W91" s="90"/>
      <c r="X91" s="90"/>
      <c r="Y91" s="91"/>
      <c r="AB91" s="89"/>
      <c r="AC91" s="90"/>
      <c r="AD91" s="90"/>
      <c r="AE91" s="90"/>
      <c r="AF91" s="90"/>
      <c r="AG91" s="90"/>
      <c r="AH91" s="90"/>
      <c r="AI91" s="90"/>
      <c r="AJ91" s="90"/>
      <c r="AK91" s="90"/>
      <c r="AL91" s="91"/>
    </row>
    <row r="92" spans="2:38" x14ac:dyDescent="0.2">
      <c r="B92" s="89"/>
      <c r="C92" s="90"/>
      <c r="D92" s="90"/>
      <c r="E92" s="90"/>
      <c r="F92" s="90"/>
      <c r="G92" s="90"/>
      <c r="H92" s="90"/>
      <c r="I92" s="90"/>
      <c r="J92" s="90"/>
      <c r="K92" s="90"/>
      <c r="L92" s="91"/>
      <c r="O92" s="89"/>
      <c r="P92" s="90"/>
      <c r="Q92" s="90"/>
      <c r="R92" s="90"/>
      <c r="S92" s="90"/>
      <c r="T92" s="90"/>
      <c r="U92" s="90"/>
      <c r="V92" s="90"/>
      <c r="W92" s="90"/>
      <c r="X92" s="90"/>
      <c r="Y92" s="91"/>
      <c r="AB92" s="89"/>
      <c r="AC92" s="90"/>
      <c r="AD92" s="90"/>
      <c r="AE92" s="90"/>
      <c r="AF92" s="90"/>
      <c r="AG92" s="90"/>
      <c r="AH92" s="90"/>
      <c r="AI92" s="90"/>
      <c r="AJ92" s="90"/>
      <c r="AK92" s="90"/>
      <c r="AL92" s="91"/>
    </row>
    <row r="93" spans="2:38" x14ac:dyDescent="0.2">
      <c r="B93" s="89"/>
      <c r="C93" s="90"/>
      <c r="D93" s="90"/>
      <c r="E93" s="90"/>
      <c r="F93" s="90"/>
      <c r="G93" s="90"/>
      <c r="H93" s="90"/>
      <c r="I93" s="90"/>
      <c r="J93" s="90"/>
      <c r="K93" s="90"/>
      <c r="L93" s="91"/>
      <c r="O93" s="89"/>
      <c r="P93" s="90"/>
      <c r="Q93" s="90"/>
      <c r="R93" s="90"/>
      <c r="S93" s="90"/>
      <c r="T93" s="90"/>
      <c r="U93" s="90"/>
      <c r="V93" s="90"/>
      <c r="W93" s="90"/>
      <c r="X93" s="90"/>
      <c r="Y93" s="91"/>
      <c r="AB93" s="89"/>
      <c r="AC93" s="90"/>
      <c r="AD93" s="90"/>
      <c r="AE93" s="90"/>
      <c r="AF93" s="90"/>
      <c r="AG93" s="90"/>
      <c r="AH93" s="90"/>
      <c r="AI93" s="90"/>
      <c r="AJ93" s="90"/>
      <c r="AK93" s="90"/>
      <c r="AL93" s="91"/>
    </row>
    <row r="94" spans="2:38" x14ac:dyDescent="0.2">
      <c r="B94" s="89"/>
      <c r="C94" s="90"/>
      <c r="D94" s="90"/>
      <c r="E94" s="90"/>
      <c r="F94" s="90"/>
      <c r="G94" s="90"/>
      <c r="H94" s="90"/>
      <c r="I94" s="90"/>
      <c r="J94" s="90"/>
      <c r="K94" s="90"/>
      <c r="L94" s="91"/>
      <c r="O94" s="89"/>
      <c r="P94" s="90"/>
      <c r="Q94" s="90"/>
      <c r="R94" s="90"/>
      <c r="S94" s="90"/>
      <c r="T94" s="90"/>
      <c r="U94" s="90"/>
      <c r="V94" s="90"/>
      <c r="W94" s="90"/>
      <c r="X94" s="90"/>
      <c r="Y94" s="91"/>
      <c r="AB94" s="89"/>
      <c r="AC94" s="90"/>
      <c r="AD94" s="90"/>
      <c r="AE94" s="90"/>
      <c r="AF94" s="90"/>
      <c r="AG94" s="90"/>
      <c r="AH94" s="90"/>
      <c r="AI94" s="90"/>
      <c r="AJ94" s="90"/>
      <c r="AK94" s="90"/>
      <c r="AL94" s="91"/>
    </row>
    <row r="95" spans="2:38" x14ac:dyDescent="0.2">
      <c r="B95" s="89"/>
      <c r="C95" s="90"/>
      <c r="D95" s="90"/>
      <c r="E95" s="90"/>
      <c r="F95" s="90"/>
      <c r="G95" s="90"/>
      <c r="H95" s="90"/>
      <c r="I95" s="90"/>
      <c r="J95" s="90"/>
      <c r="K95" s="90"/>
      <c r="L95" s="91"/>
      <c r="O95" s="89"/>
      <c r="P95" s="90"/>
      <c r="Q95" s="90"/>
      <c r="R95" s="90"/>
      <c r="S95" s="90"/>
      <c r="T95" s="90"/>
      <c r="U95" s="90"/>
      <c r="V95" s="90"/>
      <c r="W95" s="90"/>
      <c r="X95" s="90"/>
      <c r="Y95" s="91"/>
      <c r="AB95" s="89"/>
      <c r="AC95" s="90"/>
      <c r="AD95" s="90"/>
      <c r="AE95" s="90"/>
      <c r="AF95" s="90"/>
      <c r="AG95" s="90"/>
      <c r="AH95" s="90"/>
      <c r="AI95" s="90"/>
      <c r="AJ95" s="90"/>
      <c r="AK95" s="90"/>
      <c r="AL95" s="91"/>
    </row>
    <row r="96" spans="2:38" x14ac:dyDescent="0.2">
      <c r="B96" s="89"/>
      <c r="C96" s="90"/>
      <c r="D96" s="90"/>
      <c r="E96" s="90"/>
      <c r="F96" s="90"/>
      <c r="G96" s="90"/>
      <c r="H96" s="90"/>
      <c r="I96" s="90"/>
      <c r="J96" s="90"/>
      <c r="K96" s="90"/>
      <c r="L96" s="91"/>
      <c r="O96" s="89"/>
      <c r="P96" s="90"/>
      <c r="Q96" s="90"/>
      <c r="R96" s="90"/>
      <c r="S96" s="90"/>
      <c r="T96" s="90"/>
      <c r="U96" s="90"/>
      <c r="V96" s="90"/>
      <c r="W96" s="90"/>
      <c r="X96" s="90"/>
      <c r="Y96" s="91"/>
      <c r="AB96" s="89"/>
      <c r="AC96" s="90"/>
      <c r="AD96" s="90"/>
      <c r="AE96" s="90"/>
      <c r="AF96" s="90"/>
      <c r="AG96" s="90"/>
      <c r="AH96" s="90"/>
      <c r="AI96" s="90"/>
      <c r="AJ96" s="90"/>
      <c r="AK96" s="90"/>
      <c r="AL96" s="91"/>
    </row>
    <row r="97" spans="2:38" x14ac:dyDescent="0.2">
      <c r="B97" s="89"/>
      <c r="C97" s="90"/>
      <c r="D97" s="90"/>
      <c r="E97" s="90"/>
      <c r="F97" s="90"/>
      <c r="G97" s="90"/>
      <c r="H97" s="90"/>
      <c r="I97" s="90"/>
      <c r="J97" s="90"/>
      <c r="K97" s="90"/>
      <c r="L97" s="91"/>
      <c r="O97" s="89"/>
      <c r="P97" s="90"/>
      <c r="Q97" s="90"/>
      <c r="R97" s="90"/>
      <c r="S97" s="90"/>
      <c r="T97" s="90"/>
      <c r="U97" s="90"/>
      <c r="V97" s="90"/>
      <c r="W97" s="90"/>
      <c r="X97" s="90"/>
      <c r="Y97" s="91"/>
      <c r="AB97" s="89"/>
      <c r="AC97" s="90"/>
      <c r="AD97" s="90"/>
      <c r="AE97" s="90"/>
      <c r="AF97" s="90"/>
      <c r="AG97" s="90"/>
      <c r="AH97" s="90"/>
      <c r="AI97" s="90"/>
      <c r="AJ97" s="90"/>
      <c r="AK97" s="90"/>
      <c r="AL97" s="91"/>
    </row>
    <row r="98" spans="2:38" x14ac:dyDescent="0.2">
      <c r="B98" s="89"/>
      <c r="C98" s="90"/>
      <c r="D98" s="90"/>
      <c r="E98" s="90"/>
      <c r="F98" s="90"/>
      <c r="G98" s="90"/>
      <c r="H98" s="90"/>
      <c r="I98" s="90"/>
      <c r="J98" s="90"/>
      <c r="K98" s="90"/>
      <c r="L98" s="91"/>
      <c r="O98" s="89"/>
      <c r="P98" s="90"/>
      <c r="Q98" s="90"/>
      <c r="R98" s="90"/>
      <c r="S98" s="90"/>
      <c r="T98" s="90"/>
      <c r="U98" s="90"/>
      <c r="V98" s="90"/>
      <c r="W98" s="90"/>
      <c r="X98" s="90"/>
      <c r="Y98" s="91"/>
      <c r="AB98" s="89"/>
      <c r="AC98" s="90"/>
      <c r="AD98" s="90"/>
      <c r="AE98" s="90"/>
      <c r="AF98" s="90"/>
      <c r="AG98" s="90"/>
      <c r="AH98" s="90"/>
      <c r="AI98" s="90"/>
      <c r="AJ98" s="90"/>
      <c r="AK98" s="90"/>
      <c r="AL98" s="91"/>
    </row>
    <row r="99" spans="2:38" x14ac:dyDescent="0.2">
      <c r="B99" s="89"/>
      <c r="C99" s="90"/>
      <c r="D99" s="90"/>
      <c r="E99" s="90"/>
      <c r="F99" s="90"/>
      <c r="G99" s="90"/>
      <c r="H99" s="90"/>
      <c r="I99" s="90"/>
      <c r="J99" s="90"/>
      <c r="K99" s="90"/>
      <c r="L99" s="91"/>
      <c r="O99" s="89"/>
      <c r="P99" s="90"/>
      <c r="Q99" s="90"/>
      <c r="R99" s="90"/>
      <c r="S99" s="90"/>
      <c r="T99" s="90"/>
      <c r="U99" s="90"/>
      <c r="V99" s="90"/>
      <c r="W99" s="90"/>
      <c r="X99" s="90"/>
      <c r="Y99" s="91"/>
      <c r="AB99" s="89"/>
      <c r="AC99" s="90"/>
      <c r="AD99" s="90"/>
      <c r="AE99" s="90"/>
      <c r="AF99" s="90"/>
      <c r="AG99" s="90"/>
      <c r="AH99" s="90"/>
      <c r="AI99" s="90"/>
      <c r="AJ99" s="90"/>
      <c r="AK99" s="90"/>
      <c r="AL99" s="91"/>
    </row>
    <row r="100" spans="2:38" x14ac:dyDescent="0.2">
      <c r="B100" s="89"/>
      <c r="C100" s="90"/>
      <c r="D100" s="90"/>
      <c r="E100" s="90"/>
      <c r="F100" s="90"/>
      <c r="G100" s="90"/>
      <c r="H100" s="90"/>
      <c r="I100" s="90"/>
      <c r="J100" s="90"/>
      <c r="K100" s="90"/>
      <c r="L100" s="91"/>
      <c r="O100" s="89"/>
      <c r="P100" s="90"/>
      <c r="Q100" s="90"/>
      <c r="R100" s="90"/>
      <c r="S100" s="90"/>
      <c r="T100" s="90"/>
      <c r="U100" s="90"/>
      <c r="V100" s="90"/>
      <c r="W100" s="90"/>
      <c r="X100" s="90"/>
      <c r="Y100" s="91"/>
      <c r="AB100" s="89"/>
      <c r="AC100" s="90"/>
      <c r="AD100" s="90"/>
      <c r="AE100" s="90"/>
      <c r="AF100" s="90"/>
      <c r="AG100" s="90"/>
      <c r="AH100" s="90"/>
      <c r="AI100" s="90"/>
      <c r="AJ100" s="90"/>
      <c r="AK100" s="90"/>
      <c r="AL100" s="91"/>
    </row>
    <row r="101" spans="2:38" x14ac:dyDescent="0.2">
      <c r="B101" s="89"/>
      <c r="C101" s="90"/>
      <c r="D101" s="90"/>
      <c r="E101" s="90"/>
      <c r="F101" s="90"/>
      <c r="G101" s="90"/>
      <c r="H101" s="90"/>
      <c r="I101" s="90"/>
      <c r="J101" s="90"/>
      <c r="K101" s="90"/>
      <c r="L101" s="91"/>
      <c r="O101" s="89"/>
      <c r="P101" s="90"/>
      <c r="Q101" s="90"/>
      <c r="R101" s="90"/>
      <c r="S101" s="90"/>
      <c r="T101" s="90"/>
      <c r="U101" s="90"/>
      <c r="V101" s="90"/>
      <c r="W101" s="90"/>
      <c r="X101" s="90"/>
      <c r="Y101" s="91"/>
      <c r="AB101" s="89"/>
      <c r="AC101" s="90"/>
      <c r="AD101" s="90"/>
      <c r="AE101" s="90"/>
      <c r="AF101" s="90"/>
      <c r="AG101" s="90"/>
      <c r="AH101" s="90"/>
      <c r="AI101" s="90"/>
      <c r="AJ101" s="90"/>
      <c r="AK101" s="90"/>
      <c r="AL101" s="91"/>
    </row>
    <row r="102" spans="2:38" x14ac:dyDescent="0.2">
      <c r="B102" s="89"/>
      <c r="C102" s="90"/>
      <c r="D102" s="90"/>
      <c r="E102" s="90"/>
      <c r="F102" s="90"/>
      <c r="G102" s="90"/>
      <c r="H102" s="90"/>
      <c r="I102" s="90"/>
      <c r="J102" s="90"/>
      <c r="K102" s="90"/>
      <c r="L102" s="91"/>
      <c r="O102" s="89"/>
      <c r="P102" s="90"/>
      <c r="Q102" s="90"/>
      <c r="R102" s="90"/>
      <c r="S102" s="90"/>
      <c r="T102" s="90"/>
      <c r="U102" s="90"/>
      <c r="V102" s="90"/>
      <c r="W102" s="90"/>
      <c r="X102" s="90"/>
      <c r="Y102" s="91"/>
      <c r="AB102" s="89"/>
      <c r="AC102" s="90"/>
      <c r="AD102" s="90"/>
      <c r="AE102" s="90"/>
      <c r="AF102" s="90"/>
      <c r="AG102" s="90"/>
      <c r="AH102" s="90"/>
      <c r="AI102" s="90"/>
      <c r="AJ102" s="90"/>
      <c r="AK102" s="90"/>
      <c r="AL102" s="91"/>
    </row>
    <row r="103" spans="2:38" x14ac:dyDescent="0.2">
      <c r="B103" s="89"/>
      <c r="C103" s="90"/>
      <c r="D103" s="90"/>
      <c r="E103" s="90"/>
      <c r="F103" s="90"/>
      <c r="G103" s="90"/>
      <c r="H103" s="90"/>
      <c r="I103" s="90"/>
      <c r="J103" s="90"/>
      <c r="K103" s="90"/>
      <c r="L103" s="91"/>
      <c r="O103" s="89"/>
      <c r="P103" s="90"/>
      <c r="Q103" s="90"/>
      <c r="R103" s="90"/>
      <c r="S103" s="90"/>
      <c r="T103" s="90"/>
      <c r="U103" s="90"/>
      <c r="V103" s="90"/>
      <c r="W103" s="90"/>
      <c r="X103" s="90"/>
      <c r="Y103" s="91"/>
      <c r="AB103" s="89"/>
      <c r="AC103" s="90"/>
      <c r="AD103" s="90"/>
      <c r="AE103" s="90"/>
      <c r="AF103" s="90"/>
      <c r="AG103" s="90"/>
      <c r="AH103" s="90"/>
      <c r="AI103" s="90"/>
      <c r="AJ103" s="90"/>
      <c r="AK103" s="90"/>
      <c r="AL103" s="91"/>
    </row>
    <row r="104" spans="2:38" x14ac:dyDescent="0.2">
      <c r="B104" s="89"/>
      <c r="C104" s="90"/>
      <c r="D104" s="90"/>
      <c r="E104" s="90"/>
      <c r="F104" s="90"/>
      <c r="G104" s="90"/>
      <c r="H104" s="90"/>
      <c r="I104" s="90"/>
      <c r="J104" s="90"/>
      <c r="K104" s="90"/>
      <c r="L104" s="91"/>
      <c r="O104" s="89"/>
      <c r="P104" s="90"/>
      <c r="Q104" s="90"/>
      <c r="R104" s="90"/>
      <c r="S104" s="90"/>
      <c r="T104" s="90"/>
      <c r="U104" s="90"/>
      <c r="V104" s="90"/>
      <c r="W104" s="90"/>
      <c r="X104" s="90"/>
      <c r="Y104" s="91"/>
      <c r="AB104" s="89"/>
      <c r="AC104" s="90"/>
      <c r="AD104" s="90"/>
      <c r="AE104" s="90"/>
      <c r="AF104" s="90"/>
      <c r="AG104" s="90"/>
      <c r="AH104" s="90"/>
      <c r="AI104" s="90"/>
      <c r="AJ104" s="90"/>
      <c r="AK104" s="90"/>
      <c r="AL104" s="91"/>
    </row>
    <row r="105" spans="2:38" x14ac:dyDescent="0.2">
      <c r="B105" s="89"/>
      <c r="C105" s="90"/>
      <c r="D105" s="90"/>
      <c r="E105" s="90"/>
      <c r="F105" s="90"/>
      <c r="G105" s="90"/>
      <c r="H105" s="90"/>
      <c r="I105" s="90"/>
      <c r="J105" s="90"/>
      <c r="K105" s="90"/>
      <c r="L105" s="91"/>
      <c r="O105" s="89"/>
      <c r="P105" s="90"/>
      <c r="Q105" s="90"/>
      <c r="R105" s="90"/>
      <c r="S105" s="90"/>
      <c r="T105" s="90"/>
      <c r="U105" s="90"/>
      <c r="V105" s="90"/>
      <c r="W105" s="90"/>
      <c r="X105" s="90"/>
      <c r="Y105" s="91"/>
      <c r="AB105" s="89"/>
      <c r="AC105" s="90"/>
      <c r="AD105" s="90"/>
      <c r="AE105" s="90"/>
      <c r="AF105" s="90"/>
      <c r="AG105" s="90"/>
      <c r="AH105" s="90"/>
      <c r="AI105" s="90"/>
      <c r="AJ105" s="90"/>
      <c r="AK105" s="90"/>
      <c r="AL105" s="91"/>
    </row>
    <row r="106" spans="2:38" ht="13.5" thickBot="1" x14ac:dyDescent="0.25">
      <c r="B106" s="98"/>
      <c r="C106" s="99"/>
      <c r="D106" s="99"/>
      <c r="E106" s="99"/>
      <c r="F106" s="99"/>
      <c r="G106" s="99"/>
      <c r="H106" s="99"/>
      <c r="I106" s="99"/>
      <c r="J106" s="99"/>
      <c r="K106" s="99"/>
      <c r="L106" s="100"/>
      <c r="O106" s="98"/>
      <c r="P106" s="99"/>
      <c r="Q106" s="99"/>
      <c r="R106" s="99"/>
      <c r="S106" s="99"/>
      <c r="T106" s="99"/>
      <c r="U106" s="99"/>
      <c r="V106" s="99"/>
      <c r="W106" s="99"/>
      <c r="X106" s="99"/>
      <c r="Y106" s="100"/>
      <c r="AB106" s="98"/>
      <c r="AC106" s="99"/>
      <c r="AD106" s="99"/>
      <c r="AE106" s="99"/>
      <c r="AF106" s="99"/>
      <c r="AG106" s="99"/>
      <c r="AH106" s="99"/>
      <c r="AI106" s="99"/>
      <c r="AJ106" s="99"/>
      <c r="AK106" s="99"/>
      <c r="AL106" s="100"/>
    </row>
    <row r="107" spans="2:38" x14ac:dyDescent="0.2">
      <c r="O107" s="87"/>
      <c r="P107" s="90"/>
      <c r="Q107" s="108"/>
      <c r="R107" s="108"/>
      <c r="S107" s="108"/>
      <c r="T107" s="108"/>
      <c r="U107" s="108"/>
      <c r="V107" s="108"/>
      <c r="W107" s="108"/>
      <c r="X107" s="108"/>
      <c r="Y107" s="108"/>
      <c r="Z107" s="108"/>
    </row>
    <row r="108" spans="2:38" x14ac:dyDescent="0.2">
      <c r="N108" s="90"/>
      <c r="O108" s="90"/>
      <c r="P108" s="90"/>
      <c r="Q108" s="108"/>
      <c r="R108" s="108"/>
      <c r="S108" s="108"/>
      <c r="T108" s="108"/>
      <c r="U108" s="108"/>
      <c r="V108" s="108"/>
      <c r="W108" s="108"/>
      <c r="X108" s="108"/>
      <c r="Y108" s="108"/>
      <c r="Z108" s="108"/>
      <c r="AA108" s="108"/>
    </row>
    <row r="109" spans="2:38" x14ac:dyDescent="0.2">
      <c r="N109" s="90"/>
      <c r="O109" s="90"/>
      <c r="P109" s="90"/>
      <c r="Q109" s="108"/>
      <c r="R109" s="108"/>
      <c r="S109" s="108"/>
      <c r="T109" s="108"/>
      <c r="U109" s="108"/>
      <c r="V109" s="108"/>
      <c r="W109" s="108"/>
      <c r="X109" s="108"/>
      <c r="Y109" s="108"/>
      <c r="Z109" s="108"/>
      <c r="AA109" s="108"/>
    </row>
    <row r="110" spans="2:38" x14ac:dyDescent="0.2">
      <c r="N110" s="90"/>
      <c r="O110" s="90"/>
      <c r="P110" s="90"/>
      <c r="Q110" s="108"/>
      <c r="R110" s="108"/>
      <c r="S110" s="108"/>
      <c r="T110" s="108"/>
      <c r="U110" s="108"/>
      <c r="V110" s="108"/>
      <c r="W110" s="108"/>
      <c r="X110" s="108"/>
      <c r="Y110" s="108"/>
      <c r="Z110" s="108"/>
      <c r="AA110" s="108"/>
    </row>
    <row r="111" spans="2:38" x14ac:dyDescent="0.2">
      <c r="N111" s="90"/>
      <c r="O111" s="90"/>
      <c r="P111" s="90"/>
      <c r="Q111" s="108"/>
      <c r="R111" s="108"/>
      <c r="S111" s="108"/>
      <c r="T111" s="108"/>
      <c r="U111" s="108"/>
      <c r="V111" s="108"/>
      <c r="W111" s="108"/>
      <c r="X111" s="108"/>
      <c r="Y111" s="108"/>
      <c r="Z111" s="108"/>
      <c r="AA111" s="108"/>
    </row>
    <row r="112" spans="2:38" x14ac:dyDescent="0.2">
      <c r="N112" s="90"/>
      <c r="O112" s="90"/>
      <c r="P112" s="90"/>
      <c r="Q112" s="108"/>
      <c r="R112" s="108"/>
      <c r="S112" s="108"/>
      <c r="T112" s="108"/>
      <c r="U112" s="108"/>
      <c r="V112" s="108"/>
      <c r="W112" s="108"/>
      <c r="X112" s="108"/>
      <c r="Y112" s="108"/>
      <c r="Z112" s="108"/>
      <c r="AA112" s="108"/>
    </row>
    <row r="113" spans="14:27" x14ac:dyDescent="0.2">
      <c r="N113" s="90"/>
      <c r="O113" s="90"/>
      <c r="P113" s="90"/>
      <c r="Q113" s="108"/>
      <c r="R113" s="108"/>
      <c r="S113" s="108"/>
      <c r="T113" s="108"/>
      <c r="U113" s="108"/>
      <c r="V113" s="108"/>
      <c r="W113" s="108"/>
      <c r="X113" s="108"/>
      <c r="Y113" s="108"/>
      <c r="Z113" s="108"/>
      <c r="AA113" s="108"/>
    </row>
    <row r="114" spans="14:27" x14ac:dyDescent="0.2">
      <c r="N114" s="90"/>
      <c r="O114" s="90"/>
      <c r="P114" s="90"/>
      <c r="Q114" s="108"/>
      <c r="R114" s="108"/>
      <c r="S114" s="108"/>
      <c r="T114" s="108"/>
      <c r="U114" s="108"/>
      <c r="V114" s="108"/>
      <c r="W114" s="108"/>
      <c r="X114" s="108"/>
      <c r="Y114" s="108"/>
      <c r="Z114" s="108"/>
      <c r="AA114" s="108"/>
    </row>
    <row r="115" spans="14:27" x14ac:dyDescent="0.2">
      <c r="N115" s="90"/>
      <c r="O115" s="90"/>
      <c r="P115" s="90"/>
      <c r="Q115" s="108"/>
      <c r="R115" s="108"/>
      <c r="S115" s="108"/>
      <c r="T115" s="108"/>
      <c r="U115" s="108"/>
      <c r="V115" s="108"/>
      <c r="W115" s="108"/>
      <c r="X115" s="108"/>
      <c r="Y115" s="108"/>
      <c r="Z115" s="108"/>
      <c r="AA115" s="108"/>
    </row>
    <row r="116" spans="14:27" x14ac:dyDescent="0.2">
      <c r="N116" s="90"/>
      <c r="O116" s="90"/>
      <c r="P116" s="90"/>
      <c r="Q116" s="108"/>
      <c r="R116" s="108"/>
      <c r="S116" s="108"/>
      <c r="T116" s="108"/>
      <c r="U116" s="108"/>
      <c r="V116" s="108"/>
      <c r="W116" s="108"/>
      <c r="X116" s="108"/>
      <c r="Y116" s="108"/>
      <c r="Z116" s="108"/>
      <c r="AA116" s="108"/>
    </row>
    <row r="117" spans="14:27" x14ac:dyDescent="0.2">
      <c r="N117" s="90"/>
      <c r="O117" s="90"/>
      <c r="P117" s="90"/>
      <c r="Q117" s="108"/>
      <c r="R117" s="108"/>
      <c r="S117" s="108"/>
      <c r="T117" s="108"/>
      <c r="U117" s="108"/>
      <c r="V117" s="108"/>
      <c r="W117" s="108"/>
      <c r="X117" s="108"/>
      <c r="Y117" s="108"/>
      <c r="Z117" s="108"/>
      <c r="AA117" s="108"/>
    </row>
    <row r="118" spans="14:27" x14ac:dyDescent="0.2">
      <c r="N118" s="90"/>
      <c r="O118" s="90"/>
      <c r="P118" s="90"/>
      <c r="Q118" s="108"/>
      <c r="R118" s="108"/>
      <c r="S118" s="108"/>
      <c r="T118" s="108"/>
      <c r="U118" s="108"/>
      <c r="V118" s="108"/>
      <c r="W118" s="108"/>
      <c r="X118" s="108"/>
      <c r="Y118" s="108"/>
      <c r="Z118" s="108"/>
      <c r="AA118" s="108"/>
    </row>
    <row r="119" spans="14:27" x14ac:dyDescent="0.2">
      <c r="N119" s="90"/>
      <c r="O119" s="90"/>
      <c r="P119" s="90"/>
      <c r="Q119" s="108"/>
      <c r="R119" s="108"/>
      <c r="S119" s="108"/>
      <c r="T119" s="108"/>
      <c r="U119" s="108"/>
      <c r="V119" s="108"/>
      <c r="W119" s="108"/>
      <c r="X119" s="108"/>
      <c r="Y119" s="108"/>
      <c r="Z119" s="108"/>
      <c r="AA119" s="108"/>
    </row>
    <row r="120" spans="14:27" x14ac:dyDescent="0.2">
      <c r="N120" s="90"/>
      <c r="O120" s="90"/>
      <c r="P120" s="90"/>
      <c r="Q120" s="108"/>
      <c r="R120" s="108"/>
      <c r="S120" s="108"/>
      <c r="T120" s="108"/>
      <c r="U120" s="108"/>
      <c r="V120" s="108"/>
      <c r="W120" s="108"/>
      <c r="X120" s="108"/>
      <c r="Y120" s="108"/>
      <c r="Z120" s="108"/>
      <c r="AA120" s="108"/>
    </row>
    <row r="121" spans="14:27" x14ac:dyDescent="0.2">
      <c r="N121" s="90"/>
      <c r="O121" s="90"/>
      <c r="P121" s="90"/>
      <c r="Q121" s="108"/>
      <c r="R121" s="108"/>
      <c r="S121" s="108"/>
      <c r="T121" s="108"/>
      <c r="U121" s="108"/>
      <c r="V121" s="108"/>
      <c r="W121" s="108"/>
      <c r="X121" s="108"/>
      <c r="Y121" s="108"/>
      <c r="Z121" s="108"/>
      <c r="AA121" s="108"/>
    </row>
    <row r="122" spans="14:27" x14ac:dyDescent="0.2">
      <c r="N122" s="90"/>
      <c r="O122" s="90"/>
      <c r="P122" s="90"/>
      <c r="Q122" s="108"/>
      <c r="R122" s="108"/>
      <c r="S122" s="108"/>
      <c r="T122" s="108"/>
      <c r="U122" s="108"/>
      <c r="V122" s="108"/>
      <c r="W122" s="108"/>
      <c r="X122" s="108"/>
      <c r="Y122" s="108"/>
      <c r="Z122" s="108"/>
      <c r="AA122" s="108"/>
    </row>
    <row r="123" spans="14:27" x14ac:dyDescent="0.2">
      <c r="N123" s="90"/>
      <c r="O123" s="90"/>
      <c r="P123" s="90"/>
      <c r="Q123" s="108"/>
      <c r="R123" s="108"/>
      <c r="S123" s="108"/>
      <c r="T123" s="108"/>
      <c r="U123" s="108"/>
      <c r="V123" s="108"/>
      <c r="W123" s="108"/>
      <c r="X123" s="108"/>
      <c r="Y123" s="108"/>
      <c r="Z123" s="108"/>
      <c r="AA123" s="108"/>
    </row>
    <row r="124" spans="14:27" x14ac:dyDescent="0.2">
      <c r="N124" s="90"/>
      <c r="O124" s="90"/>
      <c r="P124" s="90"/>
      <c r="Q124" s="108"/>
      <c r="R124" s="108"/>
      <c r="S124" s="108"/>
      <c r="T124" s="108"/>
      <c r="U124" s="108"/>
      <c r="V124" s="108"/>
      <c r="W124" s="108"/>
      <c r="X124" s="108"/>
      <c r="Y124" s="108"/>
      <c r="Z124" s="108"/>
      <c r="AA124" s="108"/>
    </row>
    <row r="125" spans="14:27" x14ac:dyDescent="0.2">
      <c r="N125" s="90"/>
      <c r="O125" s="90"/>
      <c r="P125" s="90"/>
      <c r="Q125" s="108"/>
      <c r="R125" s="108"/>
      <c r="S125" s="108"/>
      <c r="T125" s="108"/>
      <c r="U125" s="108"/>
      <c r="V125" s="108"/>
      <c r="W125" s="108"/>
      <c r="X125" s="108"/>
      <c r="Y125" s="108"/>
      <c r="Z125" s="108"/>
      <c r="AA125" s="108"/>
    </row>
    <row r="126" spans="14:27" x14ac:dyDescent="0.2">
      <c r="N126" s="90"/>
      <c r="O126" s="90"/>
      <c r="P126" s="90"/>
      <c r="Q126" s="108"/>
      <c r="R126" s="108"/>
      <c r="S126" s="108"/>
      <c r="T126" s="108"/>
      <c r="U126" s="108"/>
      <c r="V126" s="108"/>
      <c r="W126" s="108"/>
      <c r="X126" s="108"/>
      <c r="Y126" s="108"/>
      <c r="Z126" s="108"/>
      <c r="AA126" s="108"/>
    </row>
    <row r="127" spans="14:27" x14ac:dyDescent="0.2">
      <c r="N127" s="90"/>
      <c r="O127" s="90"/>
      <c r="P127" s="90"/>
      <c r="Q127" s="108"/>
      <c r="R127" s="108"/>
      <c r="S127" s="108"/>
      <c r="T127" s="108"/>
      <c r="U127" s="108"/>
      <c r="V127" s="108"/>
      <c r="W127" s="108"/>
      <c r="X127" s="108"/>
      <c r="Y127" s="108"/>
      <c r="Z127" s="108"/>
      <c r="AA127" s="108"/>
    </row>
    <row r="128" spans="14:27" x14ac:dyDescent="0.2">
      <c r="N128" s="90"/>
      <c r="O128" s="90"/>
      <c r="P128" s="90"/>
      <c r="Q128" s="108"/>
      <c r="R128" s="108"/>
      <c r="S128" s="108"/>
      <c r="T128" s="108"/>
      <c r="U128" s="108"/>
      <c r="V128" s="108"/>
      <c r="W128" s="108"/>
      <c r="X128" s="108"/>
      <c r="Y128" s="108"/>
      <c r="Z128" s="108"/>
      <c r="AA128" s="108"/>
    </row>
    <row r="129" spans="14:27" x14ac:dyDescent="0.2">
      <c r="N129" s="90"/>
      <c r="O129" s="90"/>
      <c r="P129" s="90"/>
      <c r="Q129" s="108"/>
      <c r="R129" s="108"/>
      <c r="S129" s="108"/>
      <c r="T129" s="108"/>
      <c r="U129" s="108"/>
      <c r="V129" s="108"/>
      <c r="W129" s="108"/>
      <c r="X129" s="108"/>
      <c r="Y129" s="108"/>
      <c r="Z129" s="108"/>
      <c r="AA129" s="108"/>
    </row>
    <row r="130" spans="14:27" x14ac:dyDescent="0.2">
      <c r="N130" s="90"/>
      <c r="O130" s="90"/>
      <c r="P130" s="90"/>
      <c r="Q130" s="108"/>
      <c r="R130" s="108"/>
      <c r="S130" s="108"/>
      <c r="T130" s="108"/>
      <c r="U130" s="108"/>
      <c r="V130" s="108"/>
      <c r="W130" s="108"/>
      <c r="X130" s="108"/>
      <c r="Y130" s="108"/>
      <c r="Z130" s="108"/>
      <c r="AA130" s="108"/>
    </row>
    <row r="131" spans="14:27" x14ac:dyDescent="0.2">
      <c r="N131" s="90"/>
      <c r="O131" s="90"/>
      <c r="P131" s="90"/>
      <c r="Q131" s="108"/>
      <c r="R131" s="108"/>
      <c r="S131" s="108"/>
      <c r="T131" s="108"/>
      <c r="U131" s="108"/>
      <c r="V131" s="108"/>
      <c r="W131" s="108"/>
      <c r="X131" s="108"/>
      <c r="Y131" s="108"/>
      <c r="Z131" s="108"/>
      <c r="AA131" s="108"/>
    </row>
    <row r="132" spans="14:27" x14ac:dyDescent="0.2">
      <c r="N132" s="90"/>
      <c r="O132" s="90"/>
      <c r="P132" s="90"/>
      <c r="Q132" s="108"/>
      <c r="R132" s="108"/>
      <c r="S132" s="108"/>
      <c r="T132" s="108"/>
      <c r="U132" s="108"/>
      <c r="V132" s="108"/>
      <c r="W132" s="108"/>
      <c r="X132" s="108"/>
      <c r="Y132" s="108"/>
      <c r="Z132" s="108"/>
      <c r="AA132" s="108"/>
    </row>
    <row r="133" spans="14:27" x14ac:dyDescent="0.2">
      <c r="N133" s="90"/>
      <c r="O133" s="90"/>
      <c r="P133" s="90"/>
      <c r="Q133" s="108"/>
      <c r="R133" s="108"/>
      <c r="S133" s="108"/>
      <c r="T133" s="108"/>
      <c r="U133" s="108"/>
      <c r="V133" s="108"/>
      <c r="W133" s="108"/>
      <c r="X133" s="108"/>
      <c r="Y133" s="108"/>
      <c r="Z133" s="108"/>
      <c r="AA133" s="108"/>
    </row>
    <row r="134" spans="14:27" x14ac:dyDescent="0.2">
      <c r="N134" s="90"/>
      <c r="O134" s="90"/>
      <c r="P134" s="90"/>
      <c r="Q134" s="108"/>
      <c r="R134" s="108"/>
      <c r="S134" s="108"/>
      <c r="T134" s="108"/>
      <c r="U134" s="108"/>
      <c r="V134" s="108"/>
      <c r="W134" s="108"/>
      <c r="X134" s="108"/>
      <c r="Y134" s="108"/>
      <c r="Z134" s="108"/>
      <c r="AA134" s="108"/>
    </row>
    <row r="135" spans="14:27" x14ac:dyDescent="0.2">
      <c r="N135" s="90"/>
      <c r="O135" s="90"/>
      <c r="P135" s="90"/>
      <c r="Q135" s="108"/>
      <c r="R135" s="108"/>
      <c r="S135" s="108"/>
      <c r="T135" s="108"/>
      <c r="U135" s="108"/>
      <c r="V135" s="108"/>
      <c r="W135" s="108"/>
      <c r="X135" s="108"/>
      <c r="Y135" s="108"/>
      <c r="Z135" s="108"/>
      <c r="AA135" s="108"/>
    </row>
    <row r="136" spans="14:27" x14ac:dyDescent="0.2">
      <c r="N136" s="90"/>
      <c r="O136" s="90"/>
      <c r="P136" s="90"/>
      <c r="Q136" s="108"/>
      <c r="R136" s="108"/>
      <c r="S136" s="108"/>
      <c r="T136" s="108"/>
      <c r="U136" s="108"/>
      <c r="V136" s="108"/>
      <c r="W136" s="108"/>
      <c r="X136" s="108"/>
      <c r="Y136" s="108"/>
      <c r="Z136" s="108"/>
      <c r="AA136" s="108"/>
    </row>
    <row r="137" spans="14:27" x14ac:dyDescent="0.2">
      <c r="N137" s="90"/>
      <c r="O137" s="90"/>
      <c r="P137" s="90"/>
      <c r="Q137" s="108"/>
      <c r="R137" s="108"/>
      <c r="S137" s="108"/>
      <c r="T137" s="108"/>
      <c r="U137" s="108"/>
      <c r="V137" s="108"/>
      <c r="W137" s="108"/>
      <c r="X137" s="108"/>
      <c r="Y137" s="108"/>
      <c r="Z137" s="108"/>
      <c r="AA137" s="108"/>
    </row>
    <row r="138" spans="14:27" x14ac:dyDescent="0.2">
      <c r="N138" s="90"/>
      <c r="O138" s="90"/>
      <c r="P138" s="90"/>
      <c r="Q138" s="108"/>
      <c r="R138" s="108"/>
      <c r="S138" s="108"/>
      <c r="T138" s="108"/>
      <c r="U138" s="108"/>
      <c r="V138" s="108"/>
      <c r="W138" s="108"/>
      <c r="X138" s="108"/>
      <c r="Y138" s="108"/>
      <c r="Z138" s="108"/>
      <c r="AA138" s="108"/>
    </row>
    <row r="139" spans="14:27" x14ac:dyDescent="0.2">
      <c r="N139" s="90"/>
      <c r="O139" s="90"/>
      <c r="P139" s="90"/>
      <c r="Q139" s="108"/>
      <c r="R139" s="108"/>
      <c r="S139" s="108"/>
      <c r="T139" s="108"/>
      <c r="U139" s="108"/>
      <c r="V139" s="108"/>
      <c r="W139" s="108"/>
      <c r="X139" s="108"/>
      <c r="Y139" s="108"/>
      <c r="Z139" s="108"/>
      <c r="AA139" s="108"/>
    </row>
    <row r="140" spans="14:27" x14ac:dyDescent="0.2">
      <c r="N140" s="90"/>
      <c r="O140" s="90"/>
      <c r="P140" s="90"/>
      <c r="Q140" s="108"/>
      <c r="R140" s="108"/>
      <c r="S140" s="108"/>
      <c r="T140" s="108"/>
      <c r="U140" s="108"/>
      <c r="V140" s="108"/>
      <c r="W140" s="108"/>
      <c r="X140" s="108"/>
      <c r="Y140" s="108"/>
      <c r="Z140" s="108"/>
      <c r="AA140" s="108"/>
    </row>
    <row r="141" spans="14:27" x14ac:dyDescent="0.2">
      <c r="N141" s="90"/>
      <c r="O141" s="90"/>
      <c r="P141" s="90"/>
      <c r="Q141" s="108"/>
      <c r="R141" s="108"/>
      <c r="S141" s="108"/>
      <c r="T141" s="108"/>
      <c r="U141" s="108"/>
      <c r="V141" s="108"/>
      <c r="W141" s="108"/>
      <c r="X141" s="108"/>
      <c r="Y141" s="108"/>
      <c r="Z141" s="108"/>
      <c r="AA141" s="108"/>
    </row>
    <row r="142" spans="14:27" x14ac:dyDescent="0.2">
      <c r="N142" s="90"/>
      <c r="O142" s="90"/>
      <c r="P142" s="90"/>
      <c r="Q142" s="108"/>
      <c r="R142" s="108"/>
      <c r="S142" s="108"/>
      <c r="T142" s="108"/>
      <c r="U142" s="108"/>
      <c r="V142" s="108"/>
      <c r="W142" s="108"/>
      <c r="X142" s="108"/>
      <c r="Y142" s="108"/>
      <c r="Z142" s="108"/>
      <c r="AA142" s="108"/>
    </row>
    <row r="143" spans="14:27" x14ac:dyDescent="0.2">
      <c r="N143" s="90"/>
      <c r="O143" s="90"/>
      <c r="P143" s="90"/>
      <c r="Q143" s="108"/>
      <c r="R143" s="108"/>
      <c r="S143" s="108"/>
      <c r="T143" s="108"/>
      <c r="U143" s="108"/>
      <c r="V143" s="108"/>
      <c r="W143" s="108"/>
      <c r="X143" s="108"/>
      <c r="Y143" s="108"/>
      <c r="Z143" s="108"/>
      <c r="AA143" s="108"/>
    </row>
    <row r="144" spans="14:27" x14ac:dyDescent="0.2">
      <c r="N144" s="90"/>
      <c r="O144" s="90"/>
      <c r="P144" s="90"/>
      <c r="Q144" s="108"/>
      <c r="R144" s="108"/>
      <c r="S144" s="108"/>
      <c r="T144" s="108"/>
      <c r="U144" s="108"/>
      <c r="V144" s="108"/>
      <c r="W144" s="108"/>
      <c r="X144" s="108"/>
      <c r="Y144" s="108"/>
      <c r="Z144" s="108"/>
      <c r="AA144" s="108"/>
    </row>
    <row r="145" spans="14:27" x14ac:dyDescent="0.2">
      <c r="N145" s="90"/>
      <c r="O145" s="90"/>
      <c r="P145" s="90"/>
      <c r="Q145" s="108"/>
      <c r="R145" s="108"/>
      <c r="S145" s="108"/>
      <c r="T145" s="108"/>
      <c r="U145" s="108"/>
      <c r="V145" s="108"/>
      <c r="W145" s="108"/>
      <c r="X145" s="108"/>
      <c r="Y145" s="108"/>
      <c r="Z145" s="108"/>
      <c r="AA145" s="108"/>
    </row>
    <row r="146" spans="14:27" x14ac:dyDescent="0.2">
      <c r="N146" s="90"/>
      <c r="O146" s="90"/>
      <c r="P146" s="90"/>
      <c r="Q146" s="108"/>
      <c r="R146" s="108"/>
      <c r="S146" s="108"/>
      <c r="T146" s="108"/>
      <c r="U146" s="108"/>
      <c r="V146" s="108"/>
      <c r="W146" s="108"/>
      <c r="X146" s="108"/>
      <c r="Y146" s="108"/>
      <c r="Z146" s="108"/>
      <c r="AA146" s="108"/>
    </row>
    <row r="147" spans="14:27" x14ac:dyDescent="0.2">
      <c r="N147" s="90"/>
      <c r="O147" s="90"/>
      <c r="P147" s="90"/>
      <c r="Q147" s="108"/>
      <c r="R147" s="108"/>
      <c r="S147" s="108"/>
      <c r="T147" s="108"/>
      <c r="U147" s="108"/>
      <c r="V147" s="108"/>
      <c r="W147" s="108"/>
      <c r="X147" s="108"/>
      <c r="Y147" s="108"/>
      <c r="Z147" s="108"/>
      <c r="AA147" s="108"/>
    </row>
    <row r="148" spans="14:27" x14ac:dyDescent="0.2">
      <c r="N148" s="90"/>
      <c r="O148" s="90"/>
      <c r="P148" s="90"/>
      <c r="Q148" s="108"/>
      <c r="R148" s="108"/>
      <c r="S148" s="108"/>
      <c r="T148" s="108"/>
      <c r="U148" s="108"/>
      <c r="V148" s="108"/>
      <c r="W148" s="108"/>
      <c r="X148" s="108"/>
      <c r="Y148" s="108"/>
      <c r="Z148" s="108"/>
      <c r="AA148" s="108"/>
    </row>
    <row r="149" spans="14:27" x14ac:dyDescent="0.2">
      <c r="N149" s="90"/>
      <c r="O149" s="90"/>
      <c r="P149" s="90"/>
      <c r="Q149" s="108"/>
      <c r="R149" s="108"/>
      <c r="S149" s="108"/>
      <c r="T149" s="108"/>
      <c r="U149" s="108"/>
      <c r="V149" s="108"/>
      <c r="W149" s="108"/>
      <c r="X149" s="108"/>
      <c r="Y149" s="108"/>
      <c r="Z149" s="108"/>
      <c r="AA149" s="108"/>
    </row>
    <row r="150" spans="14:27" x14ac:dyDescent="0.2">
      <c r="N150" s="90"/>
      <c r="O150" s="90"/>
      <c r="P150" s="90"/>
      <c r="Q150" s="108"/>
      <c r="R150" s="108"/>
      <c r="S150" s="108"/>
      <c r="T150" s="108"/>
      <c r="U150" s="108"/>
      <c r="V150" s="108"/>
      <c r="W150" s="108"/>
      <c r="X150" s="108"/>
      <c r="Y150" s="108"/>
      <c r="Z150" s="108"/>
      <c r="AA150" s="108"/>
    </row>
    <row r="151" spans="14:27" x14ac:dyDescent="0.2">
      <c r="N151" s="90"/>
      <c r="O151" s="90"/>
      <c r="P151" s="90"/>
      <c r="Q151" s="108"/>
      <c r="R151" s="108"/>
      <c r="S151" s="108"/>
      <c r="T151" s="108"/>
      <c r="U151" s="108"/>
      <c r="V151" s="108"/>
      <c r="W151" s="108"/>
      <c r="X151" s="108"/>
      <c r="Y151" s="108"/>
      <c r="Z151" s="108"/>
      <c r="AA151" s="108"/>
    </row>
    <row r="152" spans="14:27" x14ac:dyDescent="0.2">
      <c r="N152" s="90"/>
      <c r="O152" s="90"/>
      <c r="P152" s="90"/>
      <c r="Q152" s="108"/>
      <c r="R152" s="108"/>
      <c r="S152" s="108"/>
      <c r="T152" s="108"/>
      <c r="U152" s="108"/>
      <c r="V152" s="108"/>
      <c r="W152" s="108"/>
      <c r="X152" s="108"/>
      <c r="Y152" s="108"/>
      <c r="Z152" s="108"/>
      <c r="AA152" s="108"/>
    </row>
    <row r="153" spans="14:27" x14ac:dyDescent="0.2">
      <c r="N153" s="90"/>
      <c r="O153" s="90"/>
      <c r="P153" s="90"/>
      <c r="Q153" s="108"/>
      <c r="R153" s="108"/>
      <c r="S153" s="108"/>
      <c r="T153" s="108"/>
      <c r="U153" s="108"/>
      <c r="V153" s="108"/>
      <c r="W153" s="108"/>
      <c r="X153" s="108"/>
      <c r="Y153" s="108"/>
      <c r="Z153" s="108"/>
      <c r="AA153" s="108"/>
    </row>
    <row r="154" spans="14:27" x14ac:dyDescent="0.2">
      <c r="N154" s="90"/>
      <c r="O154" s="90"/>
      <c r="P154" s="90"/>
      <c r="Q154" s="108"/>
      <c r="R154" s="108"/>
    </row>
    <row r="155" spans="14:27" x14ac:dyDescent="0.2">
      <c r="N155" s="90"/>
      <c r="O155" s="90"/>
      <c r="P155" s="90"/>
      <c r="Q155" s="108"/>
      <c r="R155" s="108"/>
    </row>
    <row r="156" spans="14:27" x14ac:dyDescent="0.2">
      <c r="N156" s="90"/>
      <c r="O156" s="90"/>
      <c r="P156" s="90"/>
      <c r="Q156" s="108"/>
      <c r="R156" s="108"/>
    </row>
    <row r="157" spans="14:27" x14ac:dyDescent="0.2">
      <c r="N157" s="90"/>
      <c r="O157" s="90"/>
      <c r="P157" s="90"/>
      <c r="Q157" s="108"/>
      <c r="R157" s="108"/>
    </row>
    <row r="158" spans="14:27" x14ac:dyDescent="0.2">
      <c r="N158" s="90"/>
      <c r="O158" s="90"/>
      <c r="P158" s="90"/>
      <c r="Q158" s="108"/>
      <c r="R158" s="108"/>
    </row>
    <row r="159" spans="14:27" x14ac:dyDescent="0.2">
      <c r="N159" s="90"/>
      <c r="O159" s="90"/>
      <c r="P159" s="90"/>
      <c r="Q159" s="108"/>
      <c r="R159" s="108"/>
    </row>
    <row r="160" spans="14:27" x14ac:dyDescent="0.2">
      <c r="N160" s="90"/>
      <c r="O160" s="90"/>
      <c r="P160" s="90"/>
      <c r="Q160" s="108"/>
      <c r="R160" s="108"/>
    </row>
    <row r="161" spans="14:18" x14ac:dyDescent="0.2">
      <c r="N161" s="90"/>
      <c r="O161" s="90"/>
      <c r="P161" s="90"/>
      <c r="Q161" s="108"/>
      <c r="R161" s="108"/>
    </row>
    <row r="162" spans="14:18" x14ac:dyDescent="0.2">
      <c r="N162" s="90"/>
      <c r="O162" s="90"/>
      <c r="P162" s="90"/>
      <c r="Q162" s="108"/>
      <c r="R162" s="108"/>
    </row>
    <row r="163" spans="14:18" x14ac:dyDescent="0.2">
      <c r="N163" s="90"/>
      <c r="O163" s="90"/>
      <c r="P163" s="90"/>
      <c r="Q163" s="108"/>
      <c r="R163" s="108"/>
    </row>
    <row r="164" spans="14:18" x14ac:dyDescent="0.2">
      <c r="N164" s="90"/>
      <c r="O164" s="90"/>
      <c r="P164" s="90"/>
      <c r="Q164" s="108"/>
      <c r="R164" s="108"/>
    </row>
    <row r="165" spans="14:18" x14ac:dyDescent="0.2">
      <c r="N165" s="90"/>
      <c r="O165" s="90"/>
      <c r="P165" s="90"/>
      <c r="Q165" s="108"/>
      <c r="R165" s="108"/>
    </row>
    <row r="166" spans="14:18" x14ac:dyDescent="0.2">
      <c r="N166" s="90"/>
      <c r="O166" s="90"/>
      <c r="P166" s="90"/>
      <c r="Q166" s="108"/>
      <c r="R166" s="108"/>
    </row>
    <row r="167" spans="14:18" x14ac:dyDescent="0.2">
      <c r="N167" s="90"/>
      <c r="O167" s="90"/>
      <c r="P167" s="90"/>
      <c r="Q167" s="108"/>
      <c r="R167" s="108"/>
    </row>
    <row r="168" spans="14:18" x14ac:dyDescent="0.2">
      <c r="N168" s="90"/>
      <c r="O168" s="90"/>
      <c r="P168" s="90"/>
      <c r="Q168" s="108"/>
      <c r="R168" s="108"/>
    </row>
    <row r="169" spans="14:18" x14ac:dyDescent="0.2">
      <c r="N169" s="90"/>
      <c r="O169" s="90"/>
      <c r="P169" s="90"/>
      <c r="Q169" s="108"/>
      <c r="R169" s="108"/>
    </row>
    <row r="170" spans="14:18" x14ac:dyDescent="0.2">
      <c r="N170" s="90"/>
      <c r="O170" s="90"/>
      <c r="P170" s="90"/>
      <c r="Q170" s="108"/>
      <c r="R170" s="108"/>
    </row>
    <row r="171" spans="14:18" x14ac:dyDescent="0.2">
      <c r="N171" s="90"/>
      <c r="O171" s="90"/>
      <c r="P171" s="90"/>
      <c r="Q171" s="108"/>
      <c r="R171" s="108"/>
    </row>
    <row r="172" spans="14:18" x14ac:dyDescent="0.2">
      <c r="N172" s="90"/>
      <c r="O172" s="90"/>
      <c r="P172" s="90"/>
      <c r="Q172" s="108"/>
      <c r="R172" s="108"/>
    </row>
    <row r="173" spans="14:18" x14ac:dyDescent="0.2">
      <c r="N173" s="90"/>
      <c r="O173" s="90"/>
      <c r="P173" s="90"/>
      <c r="Q173" s="108"/>
      <c r="R173" s="108"/>
    </row>
    <row r="174" spans="14:18" x14ac:dyDescent="0.2">
      <c r="N174" s="90"/>
      <c r="O174" s="90"/>
      <c r="P174" s="90"/>
      <c r="Q174" s="108"/>
      <c r="R174" s="108"/>
    </row>
    <row r="175" spans="14:18" x14ac:dyDescent="0.2">
      <c r="N175" s="90"/>
      <c r="O175" s="90"/>
      <c r="P175" s="90"/>
      <c r="Q175" s="108"/>
      <c r="R175" s="108"/>
    </row>
    <row r="176" spans="14:18" x14ac:dyDescent="0.2">
      <c r="N176" s="90"/>
      <c r="O176" s="90"/>
      <c r="P176" s="90"/>
      <c r="Q176" s="108"/>
      <c r="R176" s="108"/>
    </row>
    <row r="177" spans="14:18" x14ac:dyDescent="0.2">
      <c r="N177" s="90"/>
      <c r="O177" s="90"/>
      <c r="P177" s="90"/>
      <c r="Q177" s="108"/>
      <c r="R177" s="108"/>
    </row>
    <row r="178" spans="14:18" x14ac:dyDescent="0.2">
      <c r="N178" s="90"/>
      <c r="O178" s="90"/>
      <c r="P178" s="90"/>
      <c r="Q178" s="108"/>
      <c r="R178" s="108"/>
    </row>
    <row r="179" spans="14:18" x14ac:dyDescent="0.2">
      <c r="N179" s="90"/>
      <c r="O179" s="90"/>
      <c r="P179" s="90"/>
      <c r="Q179" s="108"/>
      <c r="R179" s="108"/>
    </row>
    <row r="180" spans="14:18" x14ac:dyDescent="0.2">
      <c r="N180" s="90"/>
      <c r="O180" s="90"/>
      <c r="P180" s="90"/>
      <c r="Q180" s="108"/>
      <c r="R180" s="108"/>
    </row>
    <row r="181" spans="14:18" x14ac:dyDescent="0.2">
      <c r="N181" s="90"/>
      <c r="O181" s="90"/>
      <c r="P181" s="90"/>
      <c r="Q181" s="108"/>
      <c r="R181" s="108"/>
    </row>
    <row r="182" spans="14:18" x14ac:dyDescent="0.2">
      <c r="N182" s="90"/>
      <c r="O182" s="90"/>
      <c r="P182" s="90"/>
      <c r="Q182" s="108"/>
      <c r="R182" s="108"/>
    </row>
    <row r="183" spans="14:18" x14ac:dyDescent="0.2">
      <c r="N183" s="90"/>
      <c r="O183" s="90"/>
      <c r="P183" s="90"/>
      <c r="Q183" s="108"/>
      <c r="R183" s="108"/>
    </row>
    <row r="184" spans="14:18" x14ac:dyDescent="0.2">
      <c r="N184" s="90"/>
      <c r="O184" s="90"/>
      <c r="P184" s="90"/>
      <c r="Q184" s="108"/>
      <c r="R184" s="108"/>
    </row>
    <row r="185" spans="14:18" x14ac:dyDescent="0.2">
      <c r="N185" s="90"/>
      <c r="O185" s="90"/>
      <c r="P185" s="90"/>
      <c r="Q185" s="108"/>
      <c r="R185" s="108"/>
    </row>
    <row r="186" spans="14:18" x14ac:dyDescent="0.2">
      <c r="N186" s="90"/>
      <c r="O186" s="90"/>
      <c r="P186" s="90"/>
      <c r="Q186" s="108"/>
      <c r="R186" s="108"/>
    </row>
    <row r="187" spans="14:18" x14ac:dyDescent="0.2">
      <c r="N187" s="90"/>
      <c r="O187" s="90"/>
      <c r="P187" s="90"/>
      <c r="Q187" s="108"/>
      <c r="R187" s="108"/>
    </row>
    <row r="188" spans="14:18" x14ac:dyDescent="0.2">
      <c r="N188" s="90"/>
      <c r="O188" s="90"/>
      <c r="P188" s="90"/>
      <c r="Q188" s="108"/>
      <c r="R188" s="108"/>
    </row>
    <row r="189" spans="14:18" x14ac:dyDescent="0.2">
      <c r="N189" s="90"/>
      <c r="O189" s="90"/>
      <c r="P189" s="90"/>
      <c r="Q189" s="108"/>
      <c r="R189" s="108"/>
    </row>
    <row r="190" spans="14:18" x14ac:dyDescent="0.2">
      <c r="N190" s="90"/>
      <c r="O190" s="90"/>
      <c r="P190" s="90"/>
      <c r="Q190" s="108"/>
      <c r="R190" s="108"/>
    </row>
    <row r="191" spans="14:18" x14ac:dyDescent="0.2">
      <c r="N191" s="90"/>
      <c r="O191" s="90"/>
      <c r="P191" s="90"/>
      <c r="Q191" s="108"/>
      <c r="R191" s="108"/>
    </row>
    <row r="192" spans="14:18" x14ac:dyDescent="0.2">
      <c r="N192" s="90"/>
      <c r="O192" s="90"/>
      <c r="P192" s="90"/>
      <c r="Q192" s="108"/>
      <c r="R192" s="108"/>
    </row>
    <row r="193" spans="14:18" x14ac:dyDescent="0.2">
      <c r="N193" s="90"/>
      <c r="O193" s="90"/>
      <c r="P193" s="90"/>
      <c r="Q193" s="108"/>
      <c r="R193" s="108"/>
    </row>
    <row r="194" spans="14:18" x14ac:dyDescent="0.2">
      <c r="N194" s="90"/>
      <c r="O194" s="90"/>
      <c r="P194" s="90"/>
      <c r="Q194" s="108"/>
      <c r="R194" s="108"/>
    </row>
    <row r="195" spans="14:18" x14ac:dyDescent="0.2">
      <c r="N195" s="90"/>
      <c r="O195" s="90"/>
      <c r="P195" s="90"/>
      <c r="Q195" s="108"/>
      <c r="R195" s="108"/>
    </row>
    <row r="196" spans="14:18" x14ac:dyDescent="0.2">
      <c r="N196" s="90"/>
      <c r="O196" s="90"/>
      <c r="P196" s="90"/>
      <c r="Q196" s="108"/>
      <c r="R196" s="108"/>
    </row>
    <row r="197" spans="14:18" x14ac:dyDescent="0.2">
      <c r="N197" s="90"/>
      <c r="O197" s="90"/>
      <c r="P197" s="90"/>
      <c r="Q197" s="108"/>
      <c r="R197" s="108"/>
    </row>
    <row r="198" spans="14:18" x14ac:dyDescent="0.2">
      <c r="N198" s="90"/>
      <c r="O198" s="90"/>
      <c r="P198" s="90"/>
      <c r="Q198" s="108"/>
      <c r="R198" s="108"/>
    </row>
    <row r="199" spans="14:18" x14ac:dyDescent="0.2">
      <c r="N199" s="90"/>
      <c r="O199" s="90"/>
      <c r="P199" s="90"/>
      <c r="Q199" s="108"/>
      <c r="R199" s="108"/>
    </row>
    <row r="200" spans="14:18" x14ac:dyDescent="0.2">
      <c r="N200" s="90"/>
      <c r="O200" s="90"/>
      <c r="P200" s="90"/>
      <c r="Q200" s="108"/>
      <c r="R200" s="108"/>
    </row>
    <row r="201" spans="14:18" x14ac:dyDescent="0.2">
      <c r="N201" s="90"/>
      <c r="O201" s="90"/>
      <c r="P201" s="90"/>
      <c r="Q201" s="108"/>
      <c r="R201" s="108"/>
    </row>
    <row r="202" spans="14:18" x14ac:dyDescent="0.2">
      <c r="N202" s="90"/>
      <c r="O202" s="90"/>
      <c r="P202" s="90"/>
      <c r="Q202" s="108"/>
      <c r="R202" s="108"/>
    </row>
    <row r="203" spans="14:18" x14ac:dyDescent="0.2">
      <c r="N203" s="90"/>
      <c r="O203" s="90"/>
      <c r="P203" s="90"/>
      <c r="Q203" s="108"/>
      <c r="R203" s="108"/>
    </row>
    <row r="204" spans="14:18" x14ac:dyDescent="0.2">
      <c r="N204" s="90"/>
      <c r="O204" s="90"/>
      <c r="P204" s="90"/>
      <c r="Q204" s="108"/>
      <c r="R204" s="108"/>
    </row>
    <row r="205" spans="14:18" x14ac:dyDescent="0.2">
      <c r="N205" s="90"/>
      <c r="O205" s="90"/>
      <c r="P205" s="90"/>
      <c r="Q205" s="108"/>
      <c r="R205" s="108"/>
    </row>
    <row r="206" spans="14:18" x14ac:dyDescent="0.2">
      <c r="N206" s="90"/>
      <c r="O206" s="90"/>
      <c r="P206" s="90"/>
      <c r="Q206" s="108"/>
      <c r="R206" s="108"/>
    </row>
    <row r="207" spans="14:18" x14ac:dyDescent="0.2">
      <c r="N207" s="90"/>
      <c r="O207" s="90"/>
      <c r="P207" s="90"/>
      <c r="Q207" s="108"/>
      <c r="R207" s="108"/>
    </row>
    <row r="208" spans="14:18" x14ac:dyDescent="0.2">
      <c r="N208" s="90"/>
      <c r="O208" s="90"/>
      <c r="P208" s="90"/>
      <c r="Q208" s="108"/>
      <c r="R208" s="108"/>
    </row>
    <row r="209" spans="14:18" x14ac:dyDescent="0.2">
      <c r="N209" s="90"/>
      <c r="O209" s="90"/>
      <c r="P209" s="90"/>
      <c r="Q209" s="108"/>
      <c r="R209" s="108"/>
    </row>
    <row r="210" spans="14:18" x14ac:dyDescent="0.2">
      <c r="N210" s="90"/>
      <c r="O210" s="90"/>
      <c r="P210" s="90"/>
      <c r="Q210" s="108"/>
      <c r="R210" s="108"/>
    </row>
    <row r="211" spans="14:18" x14ac:dyDescent="0.2">
      <c r="N211" s="90"/>
      <c r="O211" s="90"/>
      <c r="P211" s="90"/>
      <c r="Q211" s="108"/>
      <c r="R211" s="108"/>
    </row>
    <row r="212" spans="14:18" x14ac:dyDescent="0.2">
      <c r="N212" s="90"/>
      <c r="O212" s="90"/>
      <c r="P212" s="90"/>
      <c r="Q212" s="108"/>
      <c r="R212" s="108"/>
    </row>
    <row r="213" spans="14:18" x14ac:dyDescent="0.2">
      <c r="N213" s="90"/>
      <c r="O213" s="90"/>
      <c r="P213" s="90"/>
      <c r="Q213" s="108"/>
      <c r="R213" s="108"/>
    </row>
    <row r="214" spans="14:18" x14ac:dyDescent="0.2">
      <c r="N214" s="90"/>
      <c r="O214" s="90"/>
      <c r="P214" s="90"/>
      <c r="Q214" s="108"/>
      <c r="R214" s="108"/>
    </row>
    <row r="215" spans="14:18" x14ac:dyDescent="0.2">
      <c r="N215" s="90"/>
      <c r="O215" s="90"/>
      <c r="P215" s="90"/>
      <c r="Q215" s="108"/>
      <c r="R215" s="108"/>
    </row>
    <row r="216" spans="14:18" x14ac:dyDescent="0.2">
      <c r="N216" s="90"/>
      <c r="O216" s="90"/>
      <c r="P216" s="90"/>
      <c r="Q216" s="108"/>
      <c r="R216" s="108"/>
    </row>
    <row r="217" spans="14:18" x14ac:dyDescent="0.2">
      <c r="N217" s="90"/>
      <c r="O217" s="90"/>
      <c r="P217" s="90"/>
      <c r="Q217" s="108"/>
      <c r="R217" s="108"/>
    </row>
    <row r="218" spans="14:18" x14ac:dyDescent="0.2">
      <c r="N218" s="90"/>
      <c r="O218" s="90"/>
      <c r="P218" s="90"/>
      <c r="Q218" s="108"/>
      <c r="R218" s="108"/>
    </row>
    <row r="219" spans="14:18" x14ac:dyDescent="0.2">
      <c r="N219" s="90"/>
      <c r="O219" s="90"/>
      <c r="P219" s="90"/>
      <c r="Q219" s="108"/>
      <c r="R219" s="108"/>
    </row>
    <row r="220" spans="14:18" x14ac:dyDescent="0.2">
      <c r="N220" s="90"/>
      <c r="O220" s="90"/>
      <c r="P220" s="90"/>
      <c r="Q220" s="108"/>
      <c r="R220" s="108"/>
    </row>
    <row r="221" spans="14:18" x14ac:dyDescent="0.2">
      <c r="N221" s="90"/>
      <c r="O221" s="90"/>
      <c r="P221" s="90"/>
      <c r="Q221" s="108"/>
      <c r="R221" s="108"/>
    </row>
    <row r="222" spans="14:18" x14ac:dyDescent="0.2">
      <c r="N222" s="90"/>
      <c r="O222" s="90"/>
      <c r="P222" s="90"/>
      <c r="Q222" s="108"/>
      <c r="R222" s="108"/>
    </row>
    <row r="223" spans="14:18" x14ac:dyDescent="0.2">
      <c r="N223" s="90"/>
      <c r="O223" s="90"/>
      <c r="P223" s="90"/>
      <c r="Q223" s="108"/>
      <c r="R223" s="108"/>
    </row>
    <row r="224" spans="14:18" x14ac:dyDescent="0.2">
      <c r="N224" s="90"/>
      <c r="O224" s="90"/>
      <c r="P224" s="90"/>
      <c r="Q224" s="108"/>
      <c r="R224" s="108"/>
    </row>
    <row r="225" spans="14:18" x14ac:dyDescent="0.2">
      <c r="N225" s="90"/>
      <c r="O225" s="90"/>
      <c r="P225" s="90"/>
      <c r="Q225" s="108"/>
      <c r="R225" s="108"/>
    </row>
    <row r="226" spans="14:18" x14ac:dyDescent="0.2">
      <c r="N226" s="90"/>
      <c r="O226" s="90"/>
      <c r="P226" s="90"/>
      <c r="Q226" s="108"/>
      <c r="R226" s="108"/>
    </row>
    <row r="227" spans="14:18" x14ac:dyDescent="0.2">
      <c r="N227" s="90"/>
      <c r="O227" s="90"/>
      <c r="P227" s="90"/>
      <c r="Q227" s="108"/>
      <c r="R227" s="108"/>
    </row>
    <row r="228" spans="14:18" x14ac:dyDescent="0.2">
      <c r="N228" s="90"/>
      <c r="O228" s="90"/>
      <c r="P228" s="90"/>
      <c r="Q228" s="108"/>
      <c r="R228" s="108"/>
    </row>
    <row r="229" spans="14:18" x14ac:dyDescent="0.2">
      <c r="N229" s="90"/>
      <c r="O229" s="90"/>
      <c r="P229" s="90"/>
      <c r="Q229" s="108"/>
      <c r="R229" s="108"/>
    </row>
    <row r="230" spans="14:18" x14ac:dyDescent="0.2">
      <c r="N230" s="90"/>
      <c r="O230" s="90"/>
      <c r="P230" s="90"/>
      <c r="Q230" s="108"/>
      <c r="R230" s="108"/>
    </row>
    <row r="231" spans="14:18" x14ac:dyDescent="0.2">
      <c r="N231" s="90"/>
      <c r="O231" s="90"/>
      <c r="P231" s="90"/>
      <c r="Q231" s="108"/>
      <c r="R231" s="108"/>
    </row>
    <row r="232" spans="14:18" x14ac:dyDescent="0.2">
      <c r="N232" s="90"/>
      <c r="O232" s="90"/>
      <c r="P232" s="90"/>
      <c r="Q232" s="108"/>
      <c r="R232" s="108"/>
    </row>
    <row r="233" spans="14:18" x14ac:dyDescent="0.2">
      <c r="N233" s="90"/>
      <c r="O233" s="90"/>
      <c r="P233" s="90"/>
      <c r="Q233" s="108"/>
      <c r="R233" s="108"/>
    </row>
    <row r="234" spans="14:18" x14ac:dyDescent="0.2">
      <c r="N234" s="90"/>
      <c r="O234" s="90"/>
      <c r="P234" s="90"/>
      <c r="Q234" s="108"/>
      <c r="R234" s="108"/>
    </row>
    <row r="235" spans="14:18" x14ac:dyDescent="0.2">
      <c r="N235" s="90"/>
      <c r="O235" s="90"/>
      <c r="P235" s="90"/>
      <c r="Q235" s="108"/>
      <c r="R235" s="108"/>
    </row>
    <row r="236" spans="14:18" x14ac:dyDescent="0.2">
      <c r="N236" s="90"/>
      <c r="O236" s="90"/>
      <c r="P236" s="90"/>
      <c r="Q236" s="108"/>
      <c r="R236" s="108"/>
    </row>
    <row r="237" spans="14:18" x14ac:dyDescent="0.2">
      <c r="N237" s="90"/>
      <c r="O237" s="90"/>
      <c r="P237" s="90"/>
      <c r="Q237" s="108"/>
      <c r="R237" s="108"/>
    </row>
    <row r="238" spans="14:18" x14ac:dyDescent="0.2">
      <c r="N238" s="90"/>
      <c r="O238" s="90"/>
      <c r="P238" s="90"/>
      <c r="Q238" s="108"/>
      <c r="R238" s="108"/>
    </row>
    <row r="239" spans="14:18" x14ac:dyDescent="0.2">
      <c r="N239" s="90"/>
      <c r="O239" s="90"/>
      <c r="P239" s="90"/>
      <c r="Q239" s="108"/>
      <c r="R239" s="108"/>
    </row>
    <row r="240" spans="14:18" x14ac:dyDescent="0.2">
      <c r="N240" s="90"/>
      <c r="O240" s="90"/>
      <c r="P240" s="90"/>
      <c r="Q240" s="108"/>
      <c r="R240" s="108"/>
    </row>
    <row r="241" spans="14:18" x14ac:dyDescent="0.2">
      <c r="N241" s="90"/>
      <c r="O241" s="90"/>
      <c r="P241" s="90"/>
      <c r="Q241" s="108"/>
      <c r="R241" s="108"/>
    </row>
    <row r="242" spans="14:18" x14ac:dyDescent="0.2">
      <c r="N242" s="90"/>
      <c r="O242" s="90"/>
      <c r="P242" s="90"/>
      <c r="Q242" s="108"/>
      <c r="R242" s="108"/>
    </row>
    <row r="243" spans="14:18" x14ac:dyDescent="0.2">
      <c r="N243" s="90"/>
      <c r="O243" s="90"/>
      <c r="P243" s="90"/>
      <c r="Q243" s="108"/>
      <c r="R243" s="108"/>
    </row>
    <row r="244" spans="14:18" x14ac:dyDescent="0.2">
      <c r="N244" s="90"/>
      <c r="O244" s="90"/>
      <c r="P244" s="90"/>
      <c r="Q244" s="108"/>
      <c r="R244" s="108"/>
    </row>
    <row r="245" spans="14:18" x14ac:dyDescent="0.2">
      <c r="N245" s="90"/>
      <c r="O245" s="90"/>
      <c r="P245" s="90"/>
      <c r="Q245" s="108"/>
      <c r="R245" s="108"/>
    </row>
    <row r="246" spans="14:18" x14ac:dyDescent="0.2">
      <c r="N246" s="90"/>
      <c r="O246" s="90"/>
      <c r="P246" s="90"/>
      <c r="Q246" s="108"/>
      <c r="R246" s="108"/>
    </row>
    <row r="247" spans="14:18" x14ac:dyDescent="0.2">
      <c r="N247" s="90"/>
      <c r="O247" s="90"/>
      <c r="P247" s="90"/>
      <c r="Q247" s="108"/>
      <c r="R247" s="108"/>
    </row>
    <row r="248" spans="14:18" x14ac:dyDescent="0.2">
      <c r="N248" s="90"/>
      <c r="O248" s="90"/>
      <c r="P248" s="90"/>
      <c r="Q248" s="108"/>
      <c r="R248" s="108"/>
    </row>
    <row r="249" spans="14:18" x14ac:dyDescent="0.2">
      <c r="N249" s="90"/>
      <c r="O249" s="90"/>
      <c r="P249" s="90"/>
      <c r="Q249" s="108"/>
      <c r="R249" s="108"/>
    </row>
    <row r="250" spans="14:18" x14ac:dyDescent="0.2">
      <c r="N250" s="90"/>
      <c r="O250" s="90"/>
      <c r="P250" s="90"/>
      <c r="Q250" s="108"/>
      <c r="R250" s="108"/>
    </row>
    <row r="251" spans="14:18" x14ac:dyDescent="0.2">
      <c r="N251" s="90"/>
      <c r="O251" s="90"/>
      <c r="P251" s="90"/>
      <c r="Q251" s="108"/>
      <c r="R251" s="108"/>
    </row>
    <row r="252" spans="14:18" x14ac:dyDescent="0.2">
      <c r="N252" s="90"/>
      <c r="O252" s="90"/>
      <c r="P252" s="90"/>
      <c r="Q252" s="108"/>
      <c r="R252" s="108"/>
    </row>
    <row r="253" spans="14:18" x14ac:dyDescent="0.2">
      <c r="N253" s="90"/>
      <c r="O253" s="90"/>
      <c r="P253" s="90"/>
      <c r="Q253" s="108"/>
      <c r="R253" s="108"/>
    </row>
    <row r="254" spans="14:18" x14ac:dyDescent="0.2">
      <c r="N254" s="90"/>
      <c r="O254" s="90"/>
      <c r="P254" s="90"/>
      <c r="Q254" s="108"/>
      <c r="R254" s="108"/>
    </row>
    <row r="255" spans="14:18" x14ac:dyDescent="0.2">
      <c r="N255" s="90"/>
      <c r="O255" s="90"/>
      <c r="P255" s="90"/>
      <c r="Q255" s="108"/>
      <c r="R255" s="108"/>
    </row>
    <row r="256" spans="14:18" x14ac:dyDescent="0.2">
      <c r="N256" s="90"/>
      <c r="O256" s="90"/>
      <c r="P256" s="90"/>
      <c r="Q256" s="108"/>
      <c r="R256" s="108"/>
    </row>
    <row r="257" spans="14:18" x14ac:dyDescent="0.2">
      <c r="N257" s="90"/>
      <c r="O257" s="90"/>
      <c r="P257" s="90"/>
      <c r="Q257" s="108"/>
      <c r="R257" s="108"/>
    </row>
    <row r="258" spans="14:18" x14ac:dyDescent="0.2">
      <c r="N258" s="90"/>
      <c r="O258" s="90"/>
      <c r="P258" s="90"/>
      <c r="Q258" s="108"/>
      <c r="R258" s="108"/>
    </row>
    <row r="259" spans="14:18" x14ac:dyDescent="0.2">
      <c r="N259" s="90"/>
      <c r="O259" s="90"/>
      <c r="P259" s="90"/>
      <c r="Q259" s="108"/>
      <c r="R259" s="108"/>
    </row>
    <row r="260" spans="14:18" x14ac:dyDescent="0.2">
      <c r="N260" s="90"/>
      <c r="O260" s="90"/>
      <c r="P260" s="90"/>
      <c r="Q260" s="108"/>
      <c r="R260" s="108"/>
    </row>
    <row r="261" spans="14:18" x14ac:dyDescent="0.2">
      <c r="N261" s="90"/>
      <c r="O261" s="90"/>
      <c r="P261" s="90"/>
      <c r="Q261" s="108"/>
      <c r="R261" s="108"/>
    </row>
    <row r="262" spans="14:18" x14ac:dyDescent="0.2">
      <c r="N262" s="90"/>
      <c r="O262" s="90"/>
      <c r="P262" s="90"/>
      <c r="Q262" s="108"/>
      <c r="R262" s="108"/>
    </row>
    <row r="263" spans="14:18" x14ac:dyDescent="0.2">
      <c r="N263" s="90"/>
      <c r="O263" s="90"/>
      <c r="P263" s="90"/>
      <c r="Q263" s="108"/>
      <c r="R263" s="108"/>
    </row>
    <row r="264" spans="14:18" x14ac:dyDescent="0.2">
      <c r="N264" s="90"/>
      <c r="O264" s="90"/>
      <c r="P264" s="90"/>
      <c r="Q264" s="108"/>
      <c r="R264" s="108"/>
    </row>
    <row r="265" spans="14:18" x14ac:dyDescent="0.2">
      <c r="N265" s="90"/>
      <c r="O265" s="90"/>
      <c r="P265" s="90"/>
      <c r="Q265" s="108"/>
      <c r="R265" s="108"/>
    </row>
    <row r="266" spans="14:18" x14ac:dyDescent="0.2">
      <c r="N266" s="90"/>
      <c r="O266" s="90"/>
      <c r="P266" s="90"/>
      <c r="Q266" s="108"/>
      <c r="R266" s="108"/>
    </row>
  </sheetData>
  <mergeCells count="13">
    <mergeCell ref="B7:Y9"/>
    <mergeCell ref="B3:R4"/>
    <mergeCell ref="B5:R6"/>
    <mergeCell ref="B1:R2"/>
    <mergeCell ref="AR25:AS25"/>
    <mergeCell ref="B13:L14"/>
    <mergeCell ref="O13:Y14"/>
    <mergeCell ref="AI6:AL12"/>
    <mergeCell ref="AB13:AL14"/>
    <mergeCell ref="AR1:AS1"/>
    <mergeCell ref="AR17:AS17"/>
    <mergeCell ref="V5:X6"/>
    <mergeCell ref="AG1:AH7"/>
  </mergeCells>
  <pageMargins left="0.70866141732283472" right="0.70866141732283472" top="0.78740157480314965" bottom="0.78740157480314965" header="0.31496062992125984" footer="0.31496062992125984"/>
  <pageSetup paperSize="9" scale="32" fitToHeight="0" orientation="landscape" r:id="rId1"/>
  <colBreaks count="2" manualBreakCount="2">
    <brk id="13" max="106" man="1"/>
    <brk id="26" max="106" man="1"/>
  </colBreaks>
  <drawing r:id="rId2"/>
  <extLst>
    <ext xmlns:x14="http://schemas.microsoft.com/office/spreadsheetml/2009/9/main" uri="{78C0D931-6437-407d-A8EE-F0AAD7539E65}">
      <x14:conditionalFormattings>
        <x14:conditionalFormatting xmlns:xm="http://schemas.microsoft.com/office/excel/2006/main">
          <x14:cfRule type="expression" priority="1" id="{0B67C1FA-FC5E-420C-B6D1-80C25C5CD35A}">
            <xm:f>(Stammdaten!$B$1="Schweiz")</xm:f>
            <x14:dxf>
              <font>
                <color theme="0"/>
              </font>
              <fill>
                <patternFill>
                  <bgColor rgb="FFFF0000"/>
                </patternFill>
              </fill>
              <border>
                <left/>
                <right/>
                <top/>
                <bottom/>
                <vertical/>
                <horizontal/>
              </border>
            </x14:dxf>
          </x14:cfRule>
          <xm:sqref>AG1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209"/>
  <sheetViews>
    <sheetView showGridLines="0" zoomScale="90" zoomScaleNormal="90" workbookViewId="0">
      <selection activeCell="B13" sqref="B13:B15"/>
    </sheetView>
  </sheetViews>
  <sheetFormatPr baseColWidth="10" defaultRowHeight="12.75" x14ac:dyDescent="0.2"/>
  <cols>
    <col min="1" max="1" width="2" customWidth="1"/>
    <col min="2" max="2" width="117" customWidth="1"/>
    <col min="3" max="3" width="3.42578125" style="125" customWidth="1"/>
    <col min="4" max="5" width="16.7109375" customWidth="1"/>
    <col min="6" max="6" width="11.140625" customWidth="1"/>
    <col min="7" max="7" width="2.42578125" customWidth="1"/>
  </cols>
  <sheetData>
    <row r="2" spans="2:6" ht="15.6" customHeight="1" x14ac:dyDescent="0.2">
      <c r="B2" s="176" t="str">
        <f>'Beschreibung &amp; Aktualisierung'!B2</f>
        <v>Der ZEQ-Szenariorechner zum Strukturbedarf im Rahmen der COVID-19-Pandemie Version 5.1</v>
      </c>
      <c r="C2" s="121"/>
    </row>
    <row r="3" spans="2:6" ht="13.5" thickBot="1" x14ac:dyDescent="0.25"/>
    <row r="4" spans="2:6" ht="23.85" customHeight="1" x14ac:dyDescent="0.2">
      <c r="B4" s="181" t="s">
        <v>280</v>
      </c>
      <c r="C4" s="122"/>
    </row>
    <row r="5" spans="2:6" ht="45.4" customHeight="1" x14ac:dyDescent="0.2">
      <c r="B5" s="401" t="s">
        <v>281</v>
      </c>
      <c r="C5" s="122"/>
    </row>
    <row r="6" spans="2:6" ht="23.85" customHeight="1" thickBot="1" x14ac:dyDescent="0.25">
      <c r="B6" s="402"/>
      <c r="C6" s="122"/>
      <c r="D6" s="269" t="s">
        <v>121</v>
      </c>
      <c r="E6" s="269"/>
      <c r="F6" s="269"/>
    </row>
    <row r="7" spans="2:6" ht="23.85" customHeight="1" thickBot="1" x14ac:dyDescent="0.25">
      <c r="C7" s="122"/>
      <c r="D7" s="269"/>
      <c r="E7" s="269"/>
      <c r="F7" s="269"/>
    </row>
    <row r="8" spans="2:6" ht="23.85" customHeight="1" x14ac:dyDescent="0.2">
      <c r="B8" s="181" t="s">
        <v>278</v>
      </c>
      <c r="C8" s="122"/>
      <c r="D8" s="269"/>
      <c r="E8" s="269"/>
      <c r="F8" s="269"/>
    </row>
    <row r="9" spans="2:6" ht="39.6" customHeight="1" x14ac:dyDescent="0.2">
      <c r="B9" s="401" t="s">
        <v>279</v>
      </c>
      <c r="C9" s="122"/>
      <c r="D9" s="269"/>
      <c r="E9" s="269"/>
      <c r="F9" s="269"/>
    </row>
    <row r="10" spans="2:6" ht="23.85" customHeight="1" thickBot="1" x14ac:dyDescent="0.25">
      <c r="B10" s="402"/>
      <c r="C10" s="122"/>
      <c r="D10" s="269"/>
      <c r="E10" s="269"/>
      <c r="F10" s="269"/>
    </row>
    <row r="11" spans="2:6" ht="23.85" customHeight="1" thickBot="1" x14ac:dyDescent="0.25">
      <c r="C11" s="122"/>
      <c r="D11" s="226"/>
      <c r="E11" s="263" t="str">
        <f>'Beschreibung &amp; Aktualisierung'!E21</f>
        <v>Version 5.1</v>
      </c>
      <c r="F11" s="263"/>
    </row>
    <row r="12" spans="2:6" ht="23.85" customHeight="1" x14ac:dyDescent="0.2">
      <c r="B12" s="181" t="s">
        <v>265</v>
      </c>
      <c r="C12" s="123"/>
      <c r="D12" s="226"/>
      <c r="E12" s="409">
        <f>'Beschreibung &amp; Aktualisierung'!E22</f>
        <v>44300</v>
      </c>
      <c r="F12" s="409"/>
    </row>
    <row r="13" spans="2:6" ht="23.85" customHeight="1" x14ac:dyDescent="0.2">
      <c r="B13" s="401" t="s">
        <v>267</v>
      </c>
      <c r="C13" s="123"/>
      <c r="D13" s="226"/>
    </row>
    <row r="14" spans="2:6" ht="23.85" customHeight="1" x14ac:dyDescent="0.2">
      <c r="B14" s="401"/>
      <c r="C14" s="123"/>
      <c r="D14" s="244"/>
    </row>
    <row r="15" spans="2:6" ht="23.85" customHeight="1" thickBot="1" x14ac:dyDescent="0.25">
      <c r="B15" s="402"/>
      <c r="C15" s="123"/>
      <c r="D15" s="226"/>
    </row>
    <row r="16" spans="2:6" ht="23.85" customHeight="1" thickBot="1" x14ac:dyDescent="0.25">
      <c r="C16" s="123"/>
      <c r="D16" s="226"/>
      <c r="E16" s="227"/>
      <c r="F16" s="227"/>
    </row>
    <row r="17" spans="2:6" ht="23.85" customHeight="1" x14ac:dyDescent="0.2">
      <c r="B17" s="181" t="s">
        <v>261</v>
      </c>
      <c r="C17" s="123"/>
      <c r="D17" s="226"/>
      <c r="E17" s="226"/>
      <c r="F17" s="226"/>
    </row>
    <row r="18" spans="2:6" ht="23.85" customHeight="1" thickBot="1" x14ac:dyDescent="0.25">
      <c r="B18" s="401" t="s">
        <v>266</v>
      </c>
      <c r="C18" s="123"/>
      <c r="D18" s="244"/>
      <c r="E18" s="244"/>
      <c r="F18" s="244"/>
    </row>
    <row r="19" spans="2:6" ht="23.85" customHeight="1" thickBot="1" x14ac:dyDescent="0.25">
      <c r="B19" s="402"/>
      <c r="C19" s="123"/>
      <c r="D19" s="254" t="s">
        <v>180</v>
      </c>
      <c r="E19" s="255"/>
      <c r="F19" s="256"/>
    </row>
    <row r="20" spans="2:6" ht="23.85" customHeight="1" thickBot="1" x14ac:dyDescent="0.25">
      <c r="C20" s="123"/>
      <c r="D20" s="257"/>
      <c r="E20" s="258"/>
      <c r="F20" s="259"/>
    </row>
    <row r="21" spans="2:6" ht="23.85" customHeight="1" x14ac:dyDescent="0.2">
      <c r="B21" s="181" t="s">
        <v>259</v>
      </c>
      <c r="C21" s="123"/>
      <c r="D21" s="257"/>
      <c r="E21" s="258"/>
      <c r="F21" s="259"/>
    </row>
    <row r="22" spans="2:6" ht="23.85" customHeight="1" x14ac:dyDescent="0.2">
      <c r="B22" s="401" t="s">
        <v>260</v>
      </c>
      <c r="C22" s="123"/>
      <c r="D22" s="403" t="s">
        <v>253</v>
      </c>
      <c r="E22" s="404"/>
      <c r="F22" s="405"/>
    </row>
    <row r="23" spans="2:6" ht="23.85" customHeight="1" thickBot="1" x14ac:dyDescent="0.25">
      <c r="B23" s="402"/>
      <c r="C23" s="123"/>
      <c r="D23" s="403"/>
      <c r="E23" s="404"/>
      <c r="F23" s="405"/>
    </row>
    <row r="24" spans="2:6" ht="23.85" customHeight="1" thickBot="1" x14ac:dyDescent="0.25">
      <c r="C24" s="123"/>
      <c r="D24" s="403"/>
      <c r="E24" s="404"/>
      <c r="F24" s="405"/>
    </row>
    <row r="25" spans="2:6" ht="23.85" customHeight="1" x14ac:dyDescent="0.2">
      <c r="B25" s="181" t="s">
        <v>252</v>
      </c>
      <c r="C25" s="123"/>
      <c r="D25" s="403"/>
      <c r="E25" s="404"/>
      <c r="F25" s="405"/>
    </row>
    <row r="26" spans="2:6" ht="23.85" customHeight="1" x14ac:dyDescent="0.2">
      <c r="B26" s="401" t="s">
        <v>257</v>
      </c>
      <c r="C26" s="123"/>
      <c r="D26" s="403"/>
      <c r="E26" s="404"/>
      <c r="F26" s="405"/>
    </row>
    <row r="27" spans="2:6" ht="23.85" customHeight="1" x14ac:dyDescent="0.2">
      <c r="B27" s="401"/>
      <c r="C27" s="123"/>
      <c r="D27" s="403"/>
      <c r="E27" s="404"/>
      <c r="F27" s="405"/>
    </row>
    <row r="28" spans="2:6" ht="23.85" customHeight="1" thickBot="1" x14ac:dyDescent="0.25">
      <c r="B28" s="401" t="s">
        <v>256</v>
      </c>
      <c r="C28" s="123"/>
      <c r="D28" s="406"/>
      <c r="E28" s="407"/>
      <c r="F28" s="408"/>
    </row>
    <row r="29" spans="2:6" ht="23.85" customHeight="1" thickBot="1" x14ac:dyDescent="0.25">
      <c r="B29" s="402"/>
      <c r="C29" s="123"/>
    </row>
    <row r="30" spans="2:6" ht="23.85" customHeight="1" thickBot="1" x14ac:dyDescent="0.25">
      <c r="C30" s="123"/>
    </row>
    <row r="31" spans="2:6" ht="23.85" customHeight="1" x14ac:dyDescent="0.2">
      <c r="B31" s="181" t="s">
        <v>249</v>
      </c>
      <c r="C31" s="123"/>
      <c r="D31" s="226"/>
      <c r="E31" s="226"/>
      <c r="F31" s="226"/>
    </row>
    <row r="32" spans="2:6" ht="23.85" customHeight="1" x14ac:dyDescent="0.2">
      <c r="B32" s="240" t="s">
        <v>248</v>
      </c>
      <c r="C32" s="123"/>
      <c r="D32" s="226"/>
      <c r="E32" s="226"/>
      <c r="F32" s="226"/>
    </row>
    <row r="33" spans="2:3" ht="23.85" customHeight="1" x14ac:dyDescent="0.2">
      <c r="B33" s="401" t="s">
        <v>250</v>
      </c>
      <c r="C33" s="123"/>
    </row>
    <row r="34" spans="2:3" ht="23.85" customHeight="1" thickBot="1" x14ac:dyDescent="0.25">
      <c r="B34" s="402"/>
      <c r="C34" s="123"/>
    </row>
    <row r="35" spans="2:3" ht="23.85" customHeight="1" thickBot="1" x14ac:dyDescent="0.25">
      <c r="C35" s="123"/>
    </row>
    <row r="36" spans="2:3" ht="23.85" customHeight="1" x14ac:dyDescent="0.2">
      <c r="B36" s="181" t="s">
        <v>239</v>
      </c>
      <c r="C36" s="123"/>
    </row>
    <row r="37" spans="2:3" ht="23.85" customHeight="1" x14ac:dyDescent="0.2">
      <c r="B37" s="401" t="s">
        <v>240</v>
      </c>
      <c r="C37" s="123"/>
    </row>
    <row r="38" spans="2:3" ht="23.85" customHeight="1" x14ac:dyDescent="0.2">
      <c r="B38" s="401"/>
      <c r="C38" s="45"/>
    </row>
    <row r="39" spans="2:3" ht="23.85" customHeight="1" x14ac:dyDescent="0.2">
      <c r="B39" s="242" t="s">
        <v>247</v>
      </c>
      <c r="C39" s="46"/>
    </row>
    <row r="40" spans="2:3" ht="23.85" customHeight="1" x14ac:dyDescent="0.2">
      <c r="B40" s="240" t="s">
        <v>242</v>
      </c>
      <c r="C40" s="46"/>
    </row>
    <row r="41" spans="2:3" ht="23.85" customHeight="1" thickBot="1" x14ac:dyDescent="0.25">
      <c r="B41" s="241"/>
      <c r="C41" s="46"/>
    </row>
    <row r="42" spans="2:3" ht="23.85" customHeight="1" thickBot="1" x14ac:dyDescent="0.25">
      <c r="C42" s="46"/>
    </row>
    <row r="43" spans="2:3" ht="23.85" customHeight="1" x14ac:dyDescent="0.2">
      <c r="B43" s="181" t="s">
        <v>231</v>
      </c>
      <c r="C43" s="46"/>
    </row>
    <row r="44" spans="2:3" ht="23.85" customHeight="1" x14ac:dyDescent="0.2">
      <c r="B44" s="401" t="s">
        <v>232</v>
      </c>
      <c r="C44" s="46"/>
    </row>
    <row r="45" spans="2:3" ht="23.85" customHeight="1" x14ac:dyDescent="0.2">
      <c r="B45" s="401"/>
      <c r="C45" s="46"/>
    </row>
    <row r="46" spans="2:3" ht="23.85" customHeight="1" x14ac:dyDescent="0.2">
      <c r="B46" s="242" t="s">
        <v>233</v>
      </c>
      <c r="C46" s="46"/>
    </row>
    <row r="47" spans="2:3" ht="23.85" customHeight="1" thickBot="1" x14ac:dyDescent="0.25">
      <c r="B47" s="241" t="s">
        <v>234</v>
      </c>
      <c r="C47" s="46"/>
    </row>
    <row r="48" spans="2:3" ht="23.85" customHeight="1" thickBot="1" x14ac:dyDescent="0.25">
      <c r="C48" s="46"/>
    </row>
    <row r="49" spans="2:14" ht="23.85" customHeight="1" x14ac:dyDescent="0.2">
      <c r="B49" s="181" t="s">
        <v>216</v>
      </c>
      <c r="C49" s="46"/>
    </row>
    <row r="50" spans="2:14" ht="23.85" customHeight="1" x14ac:dyDescent="0.2">
      <c r="B50" s="240" t="s">
        <v>258</v>
      </c>
      <c r="C50" s="46"/>
    </row>
    <row r="51" spans="2:14" ht="23.85" customHeight="1" x14ac:dyDescent="0.2">
      <c r="B51" s="401" t="s">
        <v>217</v>
      </c>
      <c r="C51" s="46"/>
    </row>
    <row r="52" spans="2:14" ht="23.85" customHeight="1" x14ac:dyDescent="0.2">
      <c r="B52" s="401"/>
      <c r="C52" s="46"/>
    </row>
    <row r="53" spans="2:14" ht="23.85" customHeight="1" x14ac:dyDescent="0.2">
      <c r="B53" s="240" t="s">
        <v>224</v>
      </c>
      <c r="C53" s="46"/>
    </row>
    <row r="54" spans="2:14" ht="23.85" customHeight="1" thickBot="1" x14ac:dyDescent="0.25">
      <c r="B54" s="241" t="s">
        <v>225</v>
      </c>
      <c r="C54" s="46"/>
    </row>
    <row r="55" spans="2:14" ht="23.85" customHeight="1" thickBot="1" x14ac:dyDescent="0.25">
      <c r="C55" s="46"/>
    </row>
    <row r="56" spans="2:14" ht="23.85" customHeight="1" x14ac:dyDescent="0.2">
      <c r="B56" s="181" t="s">
        <v>194</v>
      </c>
      <c r="C56" s="46"/>
    </row>
    <row r="57" spans="2:14" ht="23.85" customHeight="1" x14ac:dyDescent="0.2">
      <c r="B57" s="240" t="s">
        <v>197</v>
      </c>
      <c r="C57" s="46"/>
    </row>
    <row r="58" spans="2:14" ht="23.85" customHeight="1" x14ac:dyDescent="0.2">
      <c r="B58" s="240" t="s">
        <v>200</v>
      </c>
      <c r="C58" s="46"/>
      <c r="L58" s="269"/>
      <c r="M58" s="269"/>
      <c r="N58" s="269"/>
    </row>
    <row r="59" spans="2:14" ht="23.85" customHeight="1" x14ac:dyDescent="0.2">
      <c r="B59" s="240" t="s">
        <v>209</v>
      </c>
      <c r="C59" s="46"/>
      <c r="L59" s="269"/>
      <c r="M59" s="269"/>
      <c r="N59" s="269"/>
    </row>
    <row r="60" spans="2:14" ht="23.85" customHeight="1" x14ac:dyDescent="0.2">
      <c r="B60" s="401" t="s">
        <v>210</v>
      </c>
      <c r="C60" s="46"/>
      <c r="L60" s="269"/>
      <c r="M60" s="269"/>
      <c r="N60" s="269"/>
    </row>
    <row r="61" spans="2:14" ht="23.85" customHeight="1" x14ac:dyDescent="0.2">
      <c r="B61" s="401"/>
      <c r="C61" s="46"/>
      <c r="L61" s="269"/>
      <c r="M61" s="269"/>
      <c r="N61" s="269"/>
    </row>
    <row r="62" spans="2:14" ht="23.85" customHeight="1" thickBot="1" x14ac:dyDescent="0.25">
      <c r="B62" s="241" t="s">
        <v>211</v>
      </c>
      <c r="C62" s="46"/>
      <c r="L62" s="269"/>
      <c r="M62" s="269"/>
      <c r="N62" s="269"/>
    </row>
    <row r="63" spans="2:14" ht="23.85" customHeight="1" thickBot="1" x14ac:dyDescent="0.25">
      <c r="C63" s="46"/>
      <c r="L63" s="269"/>
      <c r="M63" s="269"/>
      <c r="N63" s="269"/>
    </row>
    <row r="64" spans="2:14" ht="23.85" customHeight="1" x14ac:dyDescent="0.2">
      <c r="B64" s="181" t="s">
        <v>188</v>
      </c>
      <c r="C64" s="46"/>
      <c r="E64" s="59"/>
      <c r="L64" s="269"/>
      <c r="M64" s="269"/>
      <c r="N64" s="269"/>
    </row>
    <row r="65" spans="2:14" ht="23.85" customHeight="1" x14ac:dyDescent="0.2">
      <c r="B65" s="240" t="s">
        <v>187</v>
      </c>
      <c r="C65" s="46"/>
      <c r="E65" s="59"/>
      <c r="L65" s="269"/>
      <c r="M65" s="269"/>
      <c r="N65" s="269"/>
    </row>
    <row r="66" spans="2:14" ht="23.85" customHeight="1" x14ac:dyDescent="0.2">
      <c r="B66" s="240" t="s">
        <v>189</v>
      </c>
      <c r="C66" s="124"/>
      <c r="L66" s="269"/>
      <c r="M66" s="269"/>
      <c r="N66" s="269"/>
    </row>
    <row r="67" spans="2:14" ht="23.85" customHeight="1" x14ac:dyDescent="0.2">
      <c r="B67" s="240" t="s">
        <v>190</v>
      </c>
      <c r="C67" s="124"/>
      <c r="L67" s="269"/>
      <c r="M67" s="269"/>
      <c r="N67" s="269"/>
    </row>
    <row r="68" spans="2:14" ht="23.85" customHeight="1" x14ac:dyDescent="0.2">
      <c r="B68" s="401" t="s">
        <v>191</v>
      </c>
      <c r="C68" s="124"/>
      <c r="L68" s="269"/>
      <c r="M68" s="269"/>
      <c r="N68" s="269"/>
    </row>
    <row r="69" spans="2:14" ht="23.85" customHeight="1" x14ac:dyDescent="0.2">
      <c r="B69" s="401"/>
      <c r="C69" s="124"/>
      <c r="L69" s="269"/>
      <c r="M69" s="269"/>
      <c r="N69" s="269"/>
    </row>
    <row r="70" spans="2:14" ht="23.85" customHeight="1" x14ac:dyDescent="0.2">
      <c r="B70" s="240" t="s">
        <v>192</v>
      </c>
      <c r="C70" s="124"/>
    </row>
    <row r="71" spans="2:14" ht="23.85" customHeight="1" x14ac:dyDescent="0.2">
      <c r="B71" s="240" t="s">
        <v>193</v>
      </c>
      <c r="C71" s="124"/>
    </row>
    <row r="72" spans="2:14" ht="23.85" customHeight="1" x14ac:dyDescent="0.2">
      <c r="B72" s="240"/>
      <c r="C72" s="124"/>
    </row>
    <row r="73" spans="2:14" ht="23.85" customHeight="1" thickBot="1" x14ac:dyDescent="0.25">
      <c r="B73" s="241"/>
      <c r="C73" s="124"/>
    </row>
    <row r="74" spans="2:14" ht="23.85" customHeight="1" x14ac:dyDescent="0.2">
      <c r="C74" s="124"/>
    </row>
    <row r="75" spans="2:14" ht="23.85" customHeight="1" x14ac:dyDescent="0.2">
      <c r="C75" s="124"/>
    </row>
    <row r="76" spans="2:14" ht="23.85" customHeight="1" x14ac:dyDescent="0.2">
      <c r="C76" s="124"/>
    </row>
    <row r="77" spans="2:14" ht="23.85" customHeight="1" x14ac:dyDescent="0.2">
      <c r="C77" s="124"/>
    </row>
    <row r="78" spans="2:14" ht="23.85" customHeight="1" x14ac:dyDescent="0.2">
      <c r="C78" s="124"/>
    </row>
    <row r="79" spans="2:14" ht="23.85" customHeight="1" x14ac:dyDescent="0.2">
      <c r="C79" s="124"/>
    </row>
    <row r="80" spans="2:14" ht="23.85" customHeight="1" x14ac:dyDescent="0.2">
      <c r="C80" s="124"/>
    </row>
    <row r="81" spans="3:3" ht="23.85" customHeight="1" x14ac:dyDescent="0.2">
      <c r="C81" s="124"/>
    </row>
    <row r="82" spans="3:3" ht="23.85" customHeight="1" x14ac:dyDescent="0.2">
      <c r="C82" s="124"/>
    </row>
    <row r="83" spans="3:3" ht="23.85" customHeight="1" x14ac:dyDescent="0.2">
      <c r="C83" s="124"/>
    </row>
    <row r="84" spans="3:3" ht="23.85" customHeight="1" x14ac:dyDescent="0.2">
      <c r="C84" s="124"/>
    </row>
    <row r="85" spans="3:3" ht="23.85" customHeight="1" x14ac:dyDescent="0.2">
      <c r="C85" s="124"/>
    </row>
    <row r="86" spans="3:3" ht="23.85" customHeight="1" x14ac:dyDescent="0.2">
      <c r="C86" s="124"/>
    </row>
    <row r="87" spans="3:3" ht="23.85" customHeight="1" x14ac:dyDescent="0.2">
      <c r="C87" s="124"/>
    </row>
    <row r="88" spans="3:3" ht="23.85" customHeight="1" x14ac:dyDescent="0.2">
      <c r="C88" s="124"/>
    </row>
    <row r="89" spans="3:3" ht="23.85" customHeight="1" x14ac:dyDescent="0.2">
      <c r="C89" s="124"/>
    </row>
    <row r="90" spans="3:3" ht="23.85" customHeight="1" x14ac:dyDescent="0.2">
      <c r="C90" s="124"/>
    </row>
    <row r="91" spans="3:3" ht="23.85" customHeight="1" x14ac:dyDescent="0.2">
      <c r="C91" s="124"/>
    </row>
    <row r="92" spans="3:3" ht="23.85" customHeight="1" x14ac:dyDescent="0.2">
      <c r="C92" s="124"/>
    </row>
    <row r="93" spans="3:3" ht="23.85" customHeight="1" x14ac:dyDescent="0.2">
      <c r="C93" s="124"/>
    </row>
    <row r="94" spans="3:3" ht="14.25" x14ac:dyDescent="0.2">
      <c r="C94" s="124"/>
    </row>
    <row r="95" spans="3:3" ht="14.25" x14ac:dyDescent="0.2">
      <c r="C95" s="124"/>
    </row>
    <row r="96" spans="3:3" ht="14.25" x14ac:dyDescent="0.2">
      <c r="C96" s="124"/>
    </row>
    <row r="97" spans="3:3" ht="14.25" x14ac:dyDescent="0.2">
      <c r="C97" s="124"/>
    </row>
    <row r="98" spans="3:3" ht="14.25" x14ac:dyDescent="0.2">
      <c r="C98" s="124"/>
    </row>
    <row r="99" spans="3:3" ht="14.25" x14ac:dyDescent="0.2">
      <c r="C99" s="124"/>
    </row>
    <row r="100" spans="3:3" ht="14.25" x14ac:dyDescent="0.2">
      <c r="C100" s="124"/>
    </row>
    <row r="101" spans="3:3" ht="14.25" x14ac:dyDescent="0.2">
      <c r="C101" s="124"/>
    </row>
    <row r="102" spans="3:3" ht="14.25" x14ac:dyDescent="0.2">
      <c r="C102" s="124"/>
    </row>
    <row r="103" spans="3:3" ht="14.25" x14ac:dyDescent="0.2">
      <c r="C103" s="124"/>
    </row>
    <row r="104" spans="3:3" ht="14.25" x14ac:dyDescent="0.2">
      <c r="C104" s="124"/>
    </row>
    <row r="105" spans="3:3" ht="14.25" x14ac:dyDescent="0.2">
      <c r="C105" s="124"/>
    </row>
    <row r="106" spans="3:3" ht="14.25" x14ac:dyDescent="0.2">
      <c r="C106" s="124"/>
    </row>
    <row r="107" spans="3:3" ht="14.25" x14ac:dyDescent="0.2">
      <c r="C107" s="124"/>
    </row>
    <row r="108" spans="3:3" ht="14.25" x14ac:dyDescent="0.2">
      <c r="C108" s="124"/>
    </row>
    <row r="109" spans="3:3" ht="14.25" x14ac:dyDescent="0.2">
      <c r="C109" s="124"/>
    </row>
    <row r="110" spans="3:3" ht="14.25" x14ac:dyDescent="0.2">
      <c r="C110" s="124"/>
    </row>
    <row r="111" spans="3:3" ht="14.25" x14ac:dyDescent="0.2">
      <c r="C111" s="124"/>
    </row>
    <row r="112" spans="3:3" ht="14.25" x14ac:dyDescent="0.2">
      <c r="C112" s="124"/>
    </row>
    <row r="113" spans="3:3" ht="14.25" x14ac:dyDescent="0.2">
      <c r="C113" s="124"/>
    </row>
    <row r="114" spans="3:3" ht="14.25" x14ac:dyDescent="0.2">
      <c r="C114" s="124"/>
    </row>
    <row r="115" spans="3:3" ht="14.25" x14ac:dyDescent="0.2">
      <c r="C115" s="124"/>
    </row>
    <row r="116" spans="3:3" ht="14.25" x14ac:dyDescent="0.2">
      <c r="C116" s="124"/>
    </row>
    <row r="117" spans="3:3" ht="14.25" x14ac:dyDescent="0.2">
      <c r="C117" s="124"/>
    </row>
    <row r="118" spans="3:3" ht="14.25" x14ac:dyDescent="0.2">
      <c r="C118" s="124"/>
    </row>
    <row r="119" spans="3:3" ht="14.25" x14ac:dyDescent="0.2">
      <c r="C119" s="124"/>
    </row>
    <row r="120" spans="3:3" ht="14.25" x14ac:dyDescent="0.2">
      <c r="C120" s="124"/>
    </row>
    <row r="121" spans="3:3" ht="14.25" x14ac:dyDescent="0.2">
      <c r="C121" s="124"/>
    </row>
    <row r="122" spans="3:3" ht="14.25" x14ac:dyDescent="0.2">
      <c r="C122" s="124"/>
    </row>
    <row r="123" spans="3:3" ht="14.25" x14ac:dyDescent="0.2">
      <c r="C123" s="124"/>
    </row>
    <row r="124" spans="3:3" ht="14.25" x14ac:dyDescent="0.2">
      <c r="C124" s="124"/>
    </row>
    <row r="125" spans="3:3" ht="14.25" x14ac:dyDescent="0.2">
      <c r="C125" s="124"/>
    </row>
    <row r="126" spans="3:3" ht="14.25" x14ac:dyDescent="0.2">
      <c r="C126" s="124"/>
    </row>
    <row r="127" spans="3:3" ht="14.25" x14ac:dyDescent="0.2">
      <c r="C127" s="124"/>
    </row>
    <row r="128" spans="3:3" ht="14.25" x14ac:dyDescent="0.2">
      <c r="C128" s="124"/>
    </row>
    <row r="129" spans="1:14" ht="12.95" customHeight="1" x14ac:dyDescent="0.2"/>
    <row r="130" spans="1:14" ht="12.95" customHeight="1" x14ac:dyDescent="0.2"/>
    <row r="131" spans="1:14" ht="12.95" customHeight="1" x14ac:dyDescent="0.2"/>
    <row r="132" spans="1:14" ht="12.95" customHeight="1" x14ac:dyDescent="0.2"/>
    <row r="133" spans="1:14" ht="12.95" customHeight="1" x14ac:dyDescent="0.2"/>
    <row r="134" spans="1:14" ht="12.95" customHeight="1" x14ac:dyDescent="0.2"/>
    <row r="135" spans="1:14" ht="12.95" customHeight="1" x14ac:dyDescent="0.2"/>
    <row r="136" spans="1:14" ht="12.95" customHeight="1" x14ac:dyDescent="0.2"/>
    <row r="137" spans="1:14" ht="12.95" customHeight="1" x14ac:dyDescent="0.2"/>
    <row r="138" spans="1:14" ht="12.95" customHeight="1" x14ac:dyDescent="0.2"/>
    <row r="139" spans="1:14" ht="12.95" customHeight="1" x14ac:dyDescent="0.2"/>
    <row r="140" spans="1:14" ht="12.95" customHeight="1" x14ac:dyDescent="0.2"/>
    <row r="141" spans="1:14" ht="12.95" customHeight="1" x14ac:dyDescent="0.2"/>
    <row r="142" spans="1:14" ht="12.95" customHeight="1" x14ac:dyDescent="0.2"/>
    <row r="143" spans="1:14" ht="12.95" customHeight="1" x14ac:dyDescent="0.2">
      <c r="B143" s="239"/>
    </row>
    <row r="144" spans="1:14" s="125" customFormat="1" ht="12.95" customHeight="1" x14ac:dyDescent="0.2">
      <c r="A144"/>
      <c r="B144" s="239"/>
      <c r="D144"/>
      <c r="E144"/>
      <c r="F144"/>
      <c r="G144"/>
      <c r="H144"/>
      <c r="I144"/>
      <c r="J144"/>
      <c r="K144"/>
      <c r="L144"/>
      <c r="M144"/>
      <c r="N144"/>
    </row>
    <row r="145" spans="1:14" s="125" customFormat="1" ht="12.95" customHeight="1" x14ac:dyDescent="0.2">
      <c r="A145"/>
      <c r="B145" s="239"/>
      <c r="D145"/>
      <c r="E145"/>
      <c r="F145"/>
      <c r="G145"/>
      <c r="H145"/>
      <c r="I145"/>
      <c r="J145"/>
      <c r="K145"/>
      <c r="L145"/>
      <c r="M145"/>
      <c r="N145"/>
    </row>
    <row r="146" spans="1:14" ht="12.95" customHeight="1" x14ac:dyDescent="0.2">
      <c r="B146" s="239"/>
    </row>
    <row r="147" spans="1:14" ht="12.95" customHeight="1" x14ac:dyDescent="0.2">
      <c r="B147" s="239"/>
    </row>
    <row r="148" spans="1:14" ht="12.95" customHeight="1" x14ac:dyDescent="0.2">
      <c r="B148" s="239"/>
    </row>
    <row r="149" spans="1:14" ht="12.95" customHeight="1" x14ac:dyDescent="0.2">
      <c r="B149" s="239"/>
    </row>
    <row r="150" spans="1:14" ht="12.95" customHeight="1" x14ac:dyDescent="0.2">
      <c r="B150" s="239"/>
    </row>
    <row r="151" spans="1:14" ht="12.95" customHeight="1" x14ac:dyDescent="0.2">
      <c r="B151" s="239"/>
    </row>
    <row r="152" spans="1:14" ht="12.95" customHeight="1" x14ac:dyDescent="0.2">
      <c r="B152" s="239"/>
    </row>
    <row r="153" spans="1:14" ht="12.95" customHeight="1" x14ac:dyDescent="0.2">
      <c r="B153" s="239"/>
    </row>
    <row r="154" spans="1:14" ht="12.95" customHeight="1" x14ac:dyDescent="0.2">
      <c r="B154" s="239"/>
    </row>
    <row r="155" spans="1:14" ht="12.95" customHeight="1" x14ac:dyDescent="0.2">
      <c r="B155" s="239"/>
    </row>
    <row r="156" spans="1:14" ht="12.95" customHeight="1" x14ac:dyDescent="0.2">
      <c r="B156" s="239"/>
    </row>
    <row r="157" spans="1:14" ht="12.95" customHeight="1" x14ac:dyDescent="0.2">
      <c r="B157" s="239"/>
    </row>
    <row r="158" spans="1:14" ht="12.95" customHeight="1" x14ac:dyDescent="0.2">
      <c r="B158" s="239"/>
    </row>
    <row r="159" spans="1:14" ht="12.95" customHeight="1" x14ac:dyDescent="0.2">
      <c r="B159" s="239"/>
    </row>
    <row r="160" spans="1:14" ht="12.95" customHeight="1" x14ac:dyDescent="0.2">
      <c r="B160" s="239"/>
    </row>
    <row r="161" spans="1:2" ht="12.95" customHeight="1" x14ac:dyDescent="0.2">
      <c r="B161" s="239"/>
    </row>
    <row r="162" spans="1:2" ht="12.95" customHeight="1" x14ac:dyDescent="0.2">
      <c r="B162" s="239"/>
    </row>
    <row r="163" spans="1:2" ht="12.95" customHeight="1" x14ac:dyDescent="0.2">
      <c r="B163" s="239"/>
    </row>
    <row r="164" spans="1:2" ht="12.95" customHeight="1" x14ac:dyDescent="0.2">
      <c r="B164" s="239"/>
    </row>
    <row r="165" spans="1:2" ht="12.95" customHeight="1" x14ac:dyDescent="0.2">
      <c r="B165" s="239"/>
    </row>
    <row r="166" spans="1:2" ht="12.95" customHeight="1" x14ac:dyDescent="0.2">
      <c r="B166" s="239"/>
    </row>
    <row r="167" spans="1:2" ht="12.95" customHeight="1" x14ac:dyDescent="0.2">
      <c r="B167" s="239"/>
    </row>
    <row r="168" spans="1:2" ht="12.95" customHeight="1" x14ac:dyDescent="0.2">
      <c r="B168" s="239"/>
    </row>
    <row r="169" spans="1:2" ht="12.95" customHeight="1" x14ac:dyDescent="0.2">
      <c r="B169" s="239"/>
    </row>
    <row r="170" spans="1:2" ht="12.95" customHeight="1" x14ac:dyDescent="0.2">
      <c r="B170" s="239"/>
    </row>
    <row r="171" spans="1:2" ht="12.95" customHeight="1" x14ac:dyDescent="0.2">
      <c r="B171" s="239"/>
    </row>
    <row r="172" spans="1:2" ht="12.95" customHeight="1" x14ac:dyDescent="0.2">
      <c r="B172" s="239"/>
    </row>
    <row r="173" spans="1:2" ht="12.95" customHeight="1" x14ac:dyDescent="0.2">
      <c r="B173" s="239"/>
    </row>
    <row r="174" spans="1:2" ht="12.95" customHeight="1" x14ac:dyDescent="0.2">
      <c r="B174" s="239"/>
    </row>
    <row r="175" spans="1:2" ht="12.95" customHeight="1" x14ac:dyDescent="0.2">
      <c r="A175" s="125"/>
      <c r="B175" s="239"/>
    </row>
    <row r="176" spans="1:2" ht="12.95" customHeight="1" x14ac:dyDescent="0.2">
      <c r="A176" s="125"/>
      <c r="B176" s="239"/>
    </row>
    <row r="177" spans="2:2" ht="12.95" customHeight="1" x14ac:dyDescent="0.2">
      <c r="B177" s="239"/>
    </row>
    <row r="178" spans="2:2" ht="12.95" customHeight="1" x14ac:dyDescent="0.2">
      <c r="B178" s="239"/>
    </row>
    <row r="179" spans="2:2" ht="12.95" customHeight="1" x14ac:dyDescent="0.2">
      <c r="B179" s="239"/>
    </row>
    <row r="180" spans="2:2" ht="12.95" customHeight="1" x14ac:dyDescent="0.2">
      <c r="B180" s="239"/>
    </row>
    <row r="181" spans="2:2" ht="12.95" customHeight="1" x14ac:dyDescent="0.2">
      <c r="B181" s="239"/>
    </row>
    <row r="182" spans="2:2" ht="12.95" customHeight="1" x14ac:dyDescent="0.2">
      <c r="B182" s="239"/>
    </row>
    <row r="183" spans="2:2" ht="12.95" customHeight="1" x14ac:dyDescent="0.2">
      <c r="B183" s="239"/>
    </row>
    <row r="184" spans="2:2" ht="12.95" customHeight="1" x14ac:dyDescent="0.2">
      <c r="B184" s="239"/>
    </row>
    <row r="185" spans="2:2" ht="12.95" customHeight="1" x14ac:dyDescent="0.2">
      <c r="B185" s="239"/>
    </row>
    <row r="186" spans="2:2" ht="12.95" customHeight="1" x14ac:dyDescent="0.2">
      <c r="B186" s="239"/>
    </row>
    <row r="187" spans="2:2" ht="12.95" customHeight="1" x14ac:dyDescent="0.2">
      <c r="B187" s="239"/>
    </row>
    <row r="188" spans="2:2" ht="12.95" customHeight="1" x14ac:dyDescent="0.2">
      <c r="B188" s="239"/>
    </row>
    <row r="189" spans="2:2" ht="12.95" customHeight="1" x14ac:dyDescent="0.2">
      <c r="B189" s="239"/>
    </row>
    <row r="190" spans="2:2" ht="12.95" customHeight="1" x14ac:dyDescent="0.2">
      <c r="B190" s="239"/>
    </row>
    <row r="191" spans="2:2" ht="12.95" customHeight="1" x14ac:dyDescent="0.2">
      <c r="B191" s="239"/>
    </row>
    <row r="192" spans="2:2" ht="12.95" customHeight="1" x14ac:dyDescent="0.2">
      <c r="B192" s="239"/>
    </row>
    <row r="193" spans="2:2" ht="12.95" customHeight="1" x14ac:dyDescent="0.2">
      <c r="B193" s="239"/>
    </row>
    <row r="194" spans="2:2" ht="12.95" customHeight="1" x14ac:dyDescent="0.2">
      <c r="B194" s="239"/>
    </row>
    <row r="195" spans="2:2" ht="14.25" x14ac:dyDescent="0.2">
      <c r="B195" s="239"/>
    </row>
    <row r="196" spans="2:2" ht="14.25" x14ac:dyDescent="0.2">
      <c r="B196" s="239"/>
    </row>
    <row r="197" spans="2:2" ht="14.25" x14ac:dyDescent="0.2">
      <c r="B197" s="239"/>
    </row>
    <row r="198" spans="2:2" ht="14.25" x14ac:dyDescent="0.2">
      <c r="B198" s="239"/>
    </row>
    <row r="199" spans="2:2" ht="14.25" x14ac:dyDescent="0.2">
      <c r="B199" s="239"/>
    </row>
    <row r="200" spans="2:2" ht="14.25" x14ac:dyDescent="0.2">
      <c r="B200" s="239"/>
    </row>
    <row r="201" spans="2:2" ht="14.25" x14ac:dyDescent="0.2">
      <c r="B201" s="239"/>
    </row>
    <row r="202" spans="2:2" ht="14.25" x14ac:dyDescent="0.2">
      <c r="B202" s="239"/>
    </row>
    <row r="203" spans="2:2" ht="14.25" x14ac:dyDescent="0.2">
      <c r="B203" s="239"/>
    </row>
    <row r="204" spans="2:2" ht="14.25" x14ac:dyDescent="0.2">
      <c r="B204" s="239"/>
    </row>
    <row r="205" spans="2:2" ht="14.25" x14ac:dyDescent="0.2">
      <c r="B205" s="239"/>
    </row>
    <row r="206" spans="2:2" ht="14.25" x14ac:dyDescent="0.2">
      <c r="B206" s="239"/>
    </row>
    <row r="207" spans="2:2" ht="14.25" x14ac:dyDescent="0.2">
      <c r="B207" s="239"/>
    </row>
    <row r="208" spans="2:2" ht="14.25" x14ac:dyDescent="0.2">
      <c r="B208" s="239"/>
    </row>
    <row r="209" spans="2:2" ht="14.25" x14ac:dyDescent="0.2">
      <c r="B209" s="239"/>
    </row>
  </sheetData>
  <mergeCells count="19">
    <mergeCell ref="D19:F21"/>
    <mergeCell ref="D22:F28"/>
    <mergeCell ref="B13:B15"/>
    <mergeCell ref="B5:B6"/>
    <mergeCell ref="B9:B10"/>
    <mergeCell ref="B18:B19"/>
    <mergeCell ref="D6:F10"/>
    <mergeCell ref="E11:F11"/>
    <mergeCell ref="E12:F12"/>
    <mergeCell ref="L58:N69"/>
    <mergeCell ref="B28:B29"/>
    <mergeCell ref="B26:B27"/>
    <mergeCell ref="B22:B23"/>
    <mergeCell ref="B68:B69"/>
    <mergeCell ref="B60:B61"/>
    <mergeCell ref="B51:B52"/>
    <mergeCell ref="B44:B45"/>
    <mergeCell ref="B37:B38"/>
    <mergeCell ref="B33:B34"/>
  </mergeCells>
  <pageMargins left="0.7" right="0.7" top="0.78740157499999996" bottom="0.78740157499999996" header="0.3" footer="0.3"/>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18"/>
  <sheetViews>
    <sheetView workbookViewId="0">
      <pane ySplit="1" topLeftCell="A2" activePane="bottomLeft" state="frozen"/>
      <selection pane="bottomLeft" activeCell="E25" sqref="E25"/>
    </sheetView>
  </sheetViews>
  <sheetFormatPr baseColWidth="10" defaultRowHeight="12.75" x14ac:dyDescent="0.2"/>
  <cols>
    <col min="1" max="1" width="37.85546875" bestFit="1" customWidth="1"/>
    <col min="2" max="2" width="11.5703125" style="152"/>
    <col min="4" max="4" width="9.28515625" customWidth="1"/>
    <col min="5" max="5" width="22.28515625" customWidth="1"/>
    <col min="6" max="6" width="14.85546875" style="152" customWidth="1"/>
    <col min="7" max="8" width="14.7109375" style="152" customWidth="1"/>
  </cols>
  <sheetData>
    <row r="1" spans="1:12" ht="12.95" customHeight="1" x14ac:dyDescent="0.2">
      <c r="A1" s="159" t="s">
        <v>164</v>
      </c>
      <c r="B1" s="151" t="s">
        <v>119</v>
      </c>
      <c r="D1" s="413" t="s">
        <v>120</v>
      </c>
      <c r="G1" s="154"/>
      <c r="H1" s="410" t="s">
        <v>120</v>
      </c>
      <c r="J1" s="61" t="s">
        <v>0</v>
      </c>
      <c r="K1" s="61" t="s">
        <v>116</v>
      </c>
      <c r="L1" s="61" t="s">
        <v>119</v>
      </c>
    </row>
    <row r="2" spans="1:12" ht="12.95" customHeight="1" x14ac:dyDescent="0.2">
      <c r="B2" s="160" t="s">
        <v>116</v>
      </c>
      <c r="D2" s="414"/>
      <c r="G2" s="155"/>
      <c r="H2" s="411"/>
      <c r="J2" s="161">
        <v>43858</v>
      </c>
      <c r="K2" s="101">
        <v>1</v>
      </c>
      <c r="L2" s="178">
        <v>0</v>
      </c>
    </row>
    <row r="3" spans="1:12" ht="12.95" customHeight="1" x14ac:dyDescent="0.2">
      <c r="B3" s="160" t="s">
        <v>119</v>
      </c>
      <c r="D3" s="415"/>
      <c r="G3" s="156"/>
      <c r="H3" s="412"/>
      <c r="J3" s="161">
        <v>43859</v>
      </c>
      <c r="K3" s="101">
        <v>3</v>
      </c>
      <c r="L3" s="178">
        <v>0</v>
      </c>
    </row>
    <row r="4" spans="1:12" x14ac:dyDescent="0.2">
      <c r="J4" s="161">
        <v>37286</v>
      </c>
      <c r="K4" s="101">
        <v>0</v>
      </c>
      <c r="L4" s="178">
        <v>0</v>
      </c>
    </row>
    <row r="5" spans="1:12" x14ac:dyDescent="0.2">
      <c r="D5" s="90"/>
      <c r="J5" s="161">
        <v>43861</v>
      </c>
      <c r="K5" s="101">
        <v>1</v>
      </c>
      <c r="L5" s="178">
        <v>0</v>
      </c>
    </row>
    <row r="6" spans="1:12" x14ac:dyDescent="0.2">
      <c r="A6" s="151" t="s">
        <v>107</v>
      </c>
      <c r="J6" s="161">
        <v>43862</v>
      </c>
      <c r="K6" s="101">
        <v>2</v>
      </c>
      <c r="L6" s="178">
        <v>0</v>
      </c>
    </row>
    <row r="7" spans="1:12" x14ac:dyDescent="0.2">
      <c r="A7" s="59" t="s">
        <v>106</v>
      </c>
      <c r="B7" s="152">
        <v>4</v>
      </c>
      <c r="C7" s="59" t="s">
        <v>109</v>
      </c>
      <c r="D7">
        <v>1</v>
      </c>
      <c r="E7" s="151" t="s">
        <v>118</v>
      </c>
      <c r="F7" s="157" t="s">
        <v>111</v>
      </c>
      <c r="G7" s="157" t="s">
        <v>116</v>
      </c>
      <c r="H7" s="157" t="s">
        <v>119</v>
      </c>
      <c r="J7" s="161">
        <v>43863</v>
      </c>
      <c r="K7" s="101">
        <v>1</v>
      </c>
      <c r="L7" s="178">
        <v>0</v>
      </c>
    </row>
    <row r="8" spans="1:12" x14ac:dyDescent="0.2">
      <c r="A8" s="59" t="s">
        <v>108</v>
      </c>
      <c r="B8" s="152">
        <v>7</v>
      </c>
      <c r="C8" s="59" t="s">
        <v>110</v>
      </c>
      <c r="D8">
        <v>2</v>
      </c>
      <c r="E8" t="s">
        <v>117</v>
      </c>
      <c r="F8" s="158">
        <f t="shared" ref="F8:F18" si="0">HLOOKUP($B$1,$G$7:$H$31,D8,FALSE)</f>
        <v>8544527</v>
      </c>
      <c r="G8" s="158">
        <v>83020000</v>
      </c>
      <c r="H8" s="158">
        <v>8544527</v>
      </c>
      <c r="J8" s="161">
        <v>43864</v>
      </c>
      <c r="K8" s="101">
        <v>1</v>
      </c>
      <c r="L8" s="178">
        <v>0</v>
      </c>
    </row>
    <row r="9" spans="1:12" x14ac:dyDescent="0.2">
      <c r="D9">
        <v>3</v>
      </c>
      <c r="E9" t="s">
        <v>124</v>
      </c>
      <c r="F9" s="158" t="str">
        <f t="shared" si="0"/>
        <v>Spital</v>
      </c>
      <c r="G9" s="152" t="s">
        <v>125</v>
      </c>
      <c r="H9" s="152" t="s">
        <v>126</v>
      </c>
      <c r="J9" s="161">
        <v>43865</v>
      </c>
      <c r="K9" s="101">
        <v>2</v>
      </c>
      <c r="L9" s="178">
        <v>0</v>
      </c>
    </row>
    <row r="10" spans="1:12" x14ac:dyDescent="0.2">
      <c r="D10">
        <v>4</v>
      </c>
      <c r="E10" t="s">
        <v>127</v>
      </c>
      <c r="F10" s="158" t="str">
        <f t="shared" si="0"/>
        <v>Spitäler</v>
      </c>
      <c r="G10" s="152" t="s">
        <v>128</v>
      </c>
      <c r="H10" s="152" t="s">
        <v>129</v>
      </c>
      <c r="J10" s="161">
        <v>43866</v>
      </c>
      <c r="K10" s="101">
        <v>0</v>
      </c>
      <c r="L10" s="178">
        <v>0</v>
      </c>
    </row>
    <row r="11" spans="1:12" x14ac:dyDescent="0.2">
      <c r="D11">
        <v>5</v>
      </c>
      <c r="E11" t="s">
        <v>130</v>
      </c>
      <c r="F11" s="158" t="str">
        <f t="shared" si="0"/>
        <v>Spitälern</v>
      </c>
      <c r="G11" s="152" t="s">
        <v>131</v>
      </c>
      <c r="H11" s="152" t="s">
        <v>132</v>
      </c>
      <c r="J11" s="161">
        <v>43867</v>
      </c>
      <c r="K11" s="101">
        <v>0</v>
      </c>
      <c r="L11" s="178">
        <v>0</v>
      </c>
    </row>
    <row r="12" spans="1:12" x14ac:dyDescent="0.2">
      <c r="D12">
        <v>6</v>
      </c>
      <c r="E12" s="59" t="s">
        <v>165</v>
      </c>
      <c r="F12" s="152" t="str">
        <f t="shared" si="0"/>
        <v>Schweizweit</v>
      </c>
      <c r="G12" s="152" t="s">
        <v>149</v>
      </c>
      <c r="H12" s="152" t="s">
        <v>150</v>
      </c>
      <c r="J12" s="161">
        <v>43868</v>
      </c>
      <c r="K12" s="101">
        <v>1</v>
      </c>
      <c r="L12" s="178">
        <v>0</v>
      </c>
    </row>
    <row r="13" spans="1:12" x14ac:dyDescent="0.2">
      <c r="D13">
        <v>7</v>
      </c>
      <c r="E13" s="59" t="s">
        <v>166</v>
      </c>
      <c r="F13" s="152" t="str">
        <f t="shared" si="0"/>
        <v>schweizweite</v>
      </c>
      <c r="G13" s="152" t="s">
        <v>133</v>
      </c>
      <c r="H13" s="152" t="s">
        <v>134</v>
      </c>
      <c r="J13" s="161">
        <v>43869</v>
      </c>
      <c r="K13" s="101">
        <v>1</v>
      </c>
      <c r="L13" s="178">
        <v>0</v>
      </c>
    </row>
    <row r="14" spans="1:12" x14ac:dyDescent="0.2">
      <c r="D14">
        <v>8</v>
      </c>
      <c r="E14" s="59" t="s">
        <v>167</v>
      </c>
      <c r="F14" s="152" t="str">
        <f t="shared" si="0"/>
        <v>schweizweiten</v>
      </c>
      <c r="G14" s="152" t="s">
        <v>135</v>
      </c>
      <c r="H14" s="152" t="s">
        <v>136</v>
      </c>
      <c r="J14" s="161">
        <v>43870</v>
      </c>
      <c r="K14" s="101">
        <v>0</v>
      </c>
      <c r="L14" s="178">
        <v>0</v>
      </c>
    </row>
    <row r="15" spans="1:12" x14ac:dyDescent="0.2">
      <c r="D15">
        <v>9</v>
      </c>
      <c r="E15" t="s">
        <v>151</v>
      </c>
      <c r="F15" s="152" t="str">
        <f t="shared" si="0"/>
        <v>ECDC schweizweit</v>
      </c>
      <c r="G15" s="152" t="s">
        <v>152</v>
      </c>
      <c r="H15" s="152" t="s">
        <v>153</v>
      </c>
      <c r="J15" s="161">
        <v>43871</v>
      </c>
      <c r="K15" s="101">
        <v>0</v>
      </c>
      <c r="L15" s="178">
        <v>0</v>
      </c>
    </row>
    <row r="16" spans="1:12" x14ac:dyDescent="0.2">
      <c r="D16">
        <v>10</v>
      </c>
      <c r="E16" t="s">
        <v>169</v>
      </c>
      <c r="F16" s="152" t="str">
        <f t="shared" si="0"/>
        <v>der Schweiz</v>
      </c>
      <c r="G16" s="152" t="s">
        <v>116</v>
      </c>
      <c r="H16" s="152" t="s">
        <v>170</v>
      </c>
      <c r="J16" s="161">
        <v>43872</v>
      </c>
      <c r="K16" s="101">
        <v>0</v>
      </c>
      <c r="L16" s="178">
        <v>0</v>
      </c>
    </row>
    <row r="17" spans="4:12" x14ac:dyDescent="0.2">
      <c r="D17">
        <v>11</v>
      </c>
      <c r="E17" t="s">
        <v>171</v>
      </c>
      <c r="F17" s="152" t="str">
        <f t="shared" si="0"/>
        <v>Schweizer</v>
      </c>
      <c r="G17" s="152" t="s">
        <v>172</v>
      </c>
      <c r="H17" s="152" t="s">
        <v>173</v>
      </c>
      <c r="J17" s="161">
        <v>43873</v>
      </c>
      <c r="K17" s="101">
        <v>2</v>
      </c>
      <c r="L17" s="178">
        <v>0</v>
      </c>
    </row>
    <row r="18" spans="4:12" x14ac:dyDescent="0.2">
      <c r="D18">
        <v>12</v>
      </c>
      <c r="E18" s="59" t="s">
        <v>285</v>
      </c>
      <c r="F18" s="152" t="str">
        <f t="shared" si="0"/>
        <v>BAG Schweiz</v>
      </c>
      <c r="G18" s="249" t="s">
        <v>286</v>
      </c>
      <c r="H18" s="249" t="s">
        <v>287</v>
      </c>
      <c r="J18" s="161">
        <v>43874</v>
      </c>
      <c r="K18" s="101">
        <v>0</v>
      </c>
      <c r="L18" s="178">
        <v>0</v>
      </c>
    </row>
    <row r="19" spans="4:12" x14ac:dyDescent="0.2">
      <c r="J19" s="161">
        <v>43875</v>
      </c>
      <c r="K19" s="101">
        <v>0</v>
      </c>
      <c r="L19" s="178">
        <v>0</v>
      </c>
    </row>
    <row r="20" spans="4:12" x14ac:dyDescent="0.2">
      <c r="J20" s="161">
        <v>43876</v>
      </c>
      <c r="K20" s="101">
        <v>0</v>
      </c>
      <c r="L20" s="178">
        <v>0</v>
      </c>
    </row>
    <row r="21" spans="4:12" x14ac:dyDescent="0.2">
      <c r="J21" s="161">
        <v>43877</v>
      </c>
      <c r="K21" s="101">
        <v>0</v>
      </c>
      <c r="L21" s="178">
        <v>0</v>
      </c>
    </row>
    <row r="22" spans="4:12" x14ac:dyDescent="0.2">
      <c r="J22" s="161">
        <v>43878</v>
      </c>
      <c r="K22" s="101">
        <v>0</v>
      </c>
      <c r="L22" s="178">
        <v>0</v>
      </c>
    </row>
    <row r="23" spans="4:12" x14ac:dyDescent="0.2">
      <c r="J23" s="161">
        <v>43879</v>
      </c>
      <c r="K23" s="101">
        <v>0</v>
      </c>
      <c r="L23" s="178">
        <v>0</v>
      </c>
    </row>
    <row r="24" spans="4:12" x14ac:dyDescent="0.2">
      <c r="J24" s="161">
        <v>43880</v>
      </c>
      <c r="K24" s="101">
        <v>0</v>
      </c>
      <c r="L24" s="178">
        <v>0</v>
      </c>
    </row>
    <row r="25" spans="4:12" x14ac:dyDescent="0.2">
      <c r="J25" s="161">
        <v>43881</v>
      </c>
      <c r="K25" s="101">
        <v>0</v>
      </c>
      <c r="L25" s="178">
        <v>0</v>
      </c>
    </row>
    <row r="26" spans="4:12" x14ac:dyDescent="0.2">
      <c r="J26" s="161">
        <v>43882</v>
      </c>
      <c r="K26" s="101">
        <v>0</v>
      </c>
      <c r="L26" s="178">
        <v>0</v>
      </c>
    </row>
    <row r="27" spans="4:12" x14ac:dyDescent="0.2">
      <c r="J27" s="161">
        <v>43883</v>
      </c>
      <c r="K27" s="101">
        <v>0</v>
      </c>
      <c r="L27" s="178">
        <v>0</v>
      </c>
    </row>
    <row r="28" spans="4:12" x14ac:dyDescent="0.2">
      <c r="J28" s="161">
        <v>43884</v>
      </c>
      <c r="K28" s="101">
        <v>0</v>
      </c>
      <c r="L28" s="178">
        <v>0</v>
      </c>
    </row>
    <row r="29" spans="4:12" x14ac:dyDescent="0.2">
      <c r="J29" s="161">
        <v>43885</v>
      </c>
      <c r="K29" s="101">
        <v>0</v>
      </c>
      <c r="L29" s="178">
        <v>0</v>
      </c>
    </row>
    <row r="30" spans="4:12" x14ac:dyDescent="0.2">
      <c r="J30" s="161">
        <v>43886</v>
      </c>
      <c r="K30" s="101">
        <v>0</v>
      </c>
      <c r="L30" s="178">
        <v>0</v>
      </c>
    </row>
    <row r="31" spans="4:12" x14ac:dyDescent="0.2">
      <c r="J31" s="161">
        <v>43887</v>
      </c>
      <c r="K31" s="101">
        <v>2</v>
      </c>
      <c r="L31" s="178">
        <v>1</v>
      </c>
    </row>
    <row r="32" spans="4:12" x14ac:dyDescent="0.2">
      <c r="J32" s="161">
        <v>43888</v>
      </c>
      <c r="K32" s="101">
        <v>4</v>
      </c>
      <c r="L32" s="178">
        <v>0</v>
      </c>
    </row>
    <row r="33" spans="10:12" x14ac:dyDescent="0.2">
      <c r="J33" s="161">
        <v>43889</v>
      </c>
      <c r="K33" s="101">
        <v>26</v>
      </c>
      <c r="L33" s="178">
        <v>7</v>
      </c>
    </row>
    <row r="34" spans="10:12" x14ac:dyDescent="0.2">
      <c r="J34" s="161">
        <v>43890</v>
      </c>
      <c r="K34" s="101">
        <v>10</v>
      </c>
      <c r="L34" s="178">
        <v>4</v>
      </c>
    </row>
    <row r="35" spans="10:12" x14ac:dyDescent="0.2">
      <c r="J35" s="161">
        <v>43891</v>
      </c>
      <c r="K35" s="101">
        <v>54</v>
      </c>
      <c r="L35" s="178">
        <v>6</v>
      </c>
    </row>
    <row r="36" spans="10:12" x14ac:dyDescent="0.2">
      <c r="J36" s="161">
        <v>43892</v>
      </c>
      <c r="K36" s="101">
        <v>18</v>
      </c>
      <c r="L36" s="178">
        <v>6</v>
      </c>
    </row>
    <row r="37" spans="10:12" x14ac:dyDescent="0.2">
      <c r="J37" s="161">
        <v>43893</v>
      </c>
      <c r="K37" s="101">
        <v>28</v>
      </c>
      <c r="L37" s="178">
        <v>6</v>
      </c>
    </row>
    <row r="38" spans="10:12" x14ac:dyDescent="0.2">
      <c r="J38" s="161">
        <v>43894</v>
      </c>
      <c r="K38" s="101">
        <v>39</v>
      </c>
      <c r="L38" s="178">
        <v>7</v>
      </c>
    </row>
    <row r="39" spans="10:12" x14ac:dyDescent="0.2">
      <c r="J39" s="161">
        <v>43895</v>
      </c>
      <c r="K39" s="101">
        <v>66</v>
      </c>
      <c r="L39" s="178">
        <v>20</v>
      </c>
    </row>
    <row r="40" spans="10:12" x14ac:dyDescent="0.2">
      <c r="J40" s="161">
        <v>43896</v>
      </c>
      <c r="K40" s="101">
        <v>138</v>
      </c>
      <c r="L40" s="178">
        <v>30</v>
      </c>
    </row>
    <row r="41" spans="10:12" x14ac:dyDescent="0.2">
      <c r="J41" s="161">
        <v>43897</v>
      </c>
      <c r="K41" s="101">
        <v>284</v>
      </c>
      <c r="L41" s="178">
        <v>122</v>
      </c>
    </row>
    <row r="42" spans="10:12" x14ac:dyDescent="0.2">
      <c r="J42" s="161">
        <v>43898</v>
      </c>
      <c r="K42" s="101">
        <v>163</v>
      </c>
      <c r="L42" s="178">
        <v>55</v>
      </c>
    </row>
    <row r="43" spans="10:12" x14ac:dyDescent="0.2">
      <c r="J43" s="161">
        <v>43899</v>
      </c>
      <c r="K43" s="101">
        <v>55</v>
      </c>
      <c r="L43" s="178">
        <v>68</v>
      </c>
    </row>
    <row r="44" spans="10:12" x14ac:dyDescent="0.2">
      <c r="J44" s="161">
        <v>43900</v>
      </c>
      <c r="K44" s="101">
        <v>237</v>
      </c>
      <c r="L44" s="178">
        <v>42</v>
      </c>
    </row>
    <row r="45" spans="10:12" x14ac:dyDescent="0.2">
      <c r="J45" s="161">
        <v>43901</v>
      </c>
      <c r="K45" s="101">
        <v>157</v>
      </c>
      <c r="L45" s="178">
        <v>116</v>
      </c>
    </row>
    <row r="46" spans="10:12" x14ac:dyDescent="0.2">
      <c r="J46" s="161">
        <v>43902</v>
      </c>
      <c r="K46" s="101">
        <v>271</v>
      </c>
      <c r="L46" s="178">
        <v>152</v>
      </c>
    </row>
    <row r="47" spans="10:12" x14ac:dyDescent="0.2">
      <c r="J47" s="161">
        <v>43903</v>
      </c>
      <c r="K47" s="101">
        <v>802</v>
      </c>
      <c r="L47" s="178">
        <v>212</v>
      </c>
    </row>
    <row r="48" spans="10:12" x14ac:dyDescent="0.2">
      <c r="J48" s="161">
        <v>43904</v>
      </c>
      <c r="K48" s="101">
        <v>693</v>
      </c>
      <c r="L48" s="178">
        <v>267</v>
      </c>
    </row>
    <row r="49" spans="10:12" x14ac:dyDescent="0.2">
      <c r="J49" s="161">
        <v>43905</v>
      </c>
      <c r="K49" s="101">
        <v>733</v>
      </c>
      <c r="L49" s="178">
        <v>238</v>
      </c>
    </row>
    <row r="50" spans="10:12" x14ac:dyDescent="0.2">
      <c r="J50" s="161">
        <v>43906</v>
      </c>
      <c r="K50" s="101">
        <v>1043</v>
      </c>
      <c r="L50" s="178">
        <v>841</v>
      </c>
    </row>
    <row r="51" spans="10:12" x14ac:dyDescent="0.2">
      <c r="J51" s="161">
        <v>43907</v>
      </c>
      <c r="K51" s="101">
        <v>1174</v>
      </c>
      <c r="L51" s="178">
        <v>0</v>
      </c>
    </row>
    <row r="52" spans="10:12" x14ac:dyDescent="0.2">
      <c r="J52" s="161">
        <v>43908</v>
      </c>
      <c r="K52" s="101">
        <v>1144</v>
      </c>
      <c r="L52" s="178">
        <v>450</v>
      </c>
    </row>
    <row r="53" spans="10:12" x14ac:dyDescent="0.2">
      <c r="J53" s="86">
        <v>43909</v>
      </c>
      <c r="K53" s="101">
        <v>1042</v>
      </c>
      <c r="L53" s="178">
        <v>360</v>
      </c>
    </row>
    <row r="54" spans="10:12" x14ac:dyDescent="0.2">
      <c r="J54" s="86">
        <v>43910</v>
      </c>
      <c r="K54" s="101">
        <v>5940</v>
      </c>
      <c r="L54" s="178">
        <v>878</v>
      </c>
    </row>
    <row r="55" spans="10:12" x14ac:dyDescent="0.2">
      <c r="J55" s="86">
        <v>43911</v>
      </c>
      <c r="K55" s="101">
        <v>4049</v>
      </c>
      <c r="L55" s="178">
        <v>952</v>
      </c>
    </row>
    <row r="56" spans="10:12" x14ac:dyDescent="0.2">
      <c r="J56" s="86">
        <v>43912</v>
      </c>
      <c r="K56" s="101">
        <v>3276</v>
      </c>
      <c r="L56" s="178">
        <v>1237</v>
      </c>
    </row>
    <row r="57" spans="10:12" x14ac:dyDescent="0.2">
      <c r="J57" s="86">
        <v>43913</v>
      </c>
      <c r="K57" s="101">
        <v>3311</v>
      </c>
      <c r="L57" s="178">
        <v>894</v>
      </c>
    </row>
    <row r="58" spans="10:12" x14ac:dyDescent="0.2">
      <c r="J58" s="86">
        <v>43914</v>
      </c>
      <c r="K58" s="101">
        <v>4438</v>
      </c>
      <c r="L58" s="178">
        <v>1044</v>
      </c>
    </row>
    <row r="59" spans="10:12" x14ac:dyDescent="0.2">
      <c r="J59" s="86">
        <v>43915</v>
      </c>
      <c r="K59" s="101">
        <v>2342</v>
      </c>
      <c r="L59" s="178">
        <v>774</v>
      </c>
    </row>
    <row r="60" spans="10:12" x14ac:dyDescent="0.2">
      <c r="J60" s="86">
        <v>43916</v>
      </c>
      <c r="K60" s="101">
        <v>4954</v>
      </c>
      <c r="L60" s="178">
        <v>925</v>
      </c>
    </row>
    <row r="61" spans="10:12" x14ac:dyDescent="0.2">
      <c r="J61" s="86">
        <v>43917</v>
      </c>
      <c r="K61" s="101">
        <v>5780</v>
      </c>
      <c r="L61" s="178">
        <v>1000</v>
      </c>
    </row>
    <row r="62" spans="10:12" x14ac:dyDescent="0.2">
      <c r="J62" s="86">
        <v>43918</v>
      </c>
      <c r="K62" s="101">
        <v>6294</v>
      </c>
      <c r="L62" s="178">
        <v>1390</v>
      </c>
    </row>
    <row r="63" spans="10:12" x14ac:dyDescent="0.2">
      <c r="J63" s="86">
        <v>43919</v>
      </c>
      <c r="K63" s="101">
        <v>3965</v>
      </c>
      <c r="L63" s="178">
        <v>1048</v>
      </c>
    </row>
    <row r="64" spans="10:12" x14ac:dyDescent="0.2">
      <c r="J64" s="86">
        <v>43920</v>
      </c>
      <c r="K64" s="101">
        <v>4751</v>
      </c>
      <c r="L64" s="178">
        <v>1122</v>
      </c>
    </row>
    <row r="65" spans="10:12" x14ac:dyDescent="0.2">
      <c r="J65" s="86">
        <v>43921</v>
      </c>
      <c r="K65" s="101">
        <v>4615</v>
      </c>
      <c r="L65" s="178">
        <v>1138</v>
      </c>
    </row>
    <row r="66" spans="10:12" x14ac:dyDescent="0.2">
      <c r="J66" s="86">
        <v>43922</v>
      </c>
      <c r="K66" s="101">
        <v>5453</v>
      </c>
      <c r="L66" s="178">
        <v>696</v>
      </c>
    </row>
    <row r="67" spans="10:12" x14ac:dyDescent="0.2">
      <c r="J67" s="86">
        <v>43923</v>
      </c>
      <c r="K67" s="101">
        <v>6156</v>
      </c>
      <c r="L67" s="178">
        <v>962</v>
      </c>
    </row>
    <row r="68" spans="10:12" x14ac:dyDescent="0.2">
      <c r="J68" s="86">
        <v>43924</v>
      </c>
      <c r="K68" s="101">
        <v>6174</v>
      </c>
      <c r="L68" s="178">
        <v>1774</v>
      </c>
    </row>
    <row r="69" spans="10:12" x14ac:dyDescent="0.2">
      <c r="J69" s="86">
        <v>43925</v>
      </c>
      <c r="K69" s="101">
        <v>6082</v>
      </c>
      <c r="L69" s="178">
        <v>862</v>
      </c>
    </row>
    <row r="70" spans="10:12" x14ac:dyDescent="0.2">
      <c r="J70" s="86">
        <v>43926</v>
      </c>
      <c r="K70" s="101">
        <v>5936</v>
      </c>
      <c r="L70" s="178">
        <v>783</v>
      </c>
    </row>
    <row r="71" spans="10:12" x14ac:dyDescent="0.2">
      <c r="J71" s="86">
        <v>43927</v>
      </c>
      <c r="K71" s="101">
        <v>3677</v>
      </c>
      <c r="L71" s="178">
        <v>576</v>
      </c>
    </row>
    <row r="72" spans="10:12" x14ac:dyDescent="0.2">
      <c r="J72" s="86">
        <v>43928</v>
      </c>
      <c r="K72" s="101">
        <v>3834</v>
      </c>
      <c r="L72" s="178">
        <v>552</v>
      </c>
    </row>
    <row r="73" spans="10:12" x14ac:dyDescent="0.2">
      <c r="J73" s="86">
        <v>43929</v>
      </c>
      <c r="K73" s="101">
        <v>4003</v>
      </c>
      <c r="L73" s="178">
        <v>590</v>
      </c>
    </row>
    <row r="74" spans="10:12" x14ac:dyDescent="0.2">
      <c r="J74" s="86">
        <v>43930</v>
      </c>
      <c r="K74" s="101">
        <v>4974</v>
      </c>
      <c r="L74" s="178">
        <v>546</v>
      </c>
    </row>
    <row r="75" spans="10:12" x14ac:dyDescent="0.2">
      <c r="J75" s="86">
        <v>43931</v>
      </c>
      <c r="K75" s="101">
        <v>5323</v>
      </c>
      <c r="L75" s="178">
        <v>785</v>
      </c>
    </row>
    <row r="76" spans="10:12" x14ac:dyDescent="0.2">
      <c r="J76" s="86">
        <v>43932</v>
      </c>
      <c r="K76" s="101">
        <v>4133</v>
      </c>
      <c r="L76" s="101">
        <v>733</v>
      </c>
    </row>
    <row r="77" spans="10:12" x14ac:dyDescent="0.2">
      <c r="J77" s="86">
        <v>43933</v>
      </c>
      <c r="K77" s="101">
        <v>2821</v>
      </c>
      <c r="L77" s="101">
        <v>592</v>
      </c>
    </row>
    <row r="78" spans="10:12" x14ac:dyDescent="0.2">
      <c r="J78" s="86">
        <v>43934</v>
      </c>
      <c r="K78" s="101">
        <v>2537</v>
      </c>
      <c r="L78" s="101">
        <v>400</v>
      </c>
    </row>
    <row r="79" spans="10:12" x14ac:dyDescent="0.2">
      <c r="J79" s="86">
        <v>43935</v>
      </c>
      <c r="K79" s="101">
        <v>2082</v>
      </c>
      <c r="L79" s="101">
        <v>279</v>
      </c>
    </row>
    <row r="80" spans="10:12" x14ac:dyDescent="0.2">
      <c r="J80" s="86">
        <v>43936</v>
      </c>
      <c r="K80" s="101">
        <v>2486</v>
      </c>
      <c r="L80" s="101">
        <v>254</v>
      </c>
    </row>
    <row r="81" spans="10:12" x14ac:dyDescent="0.2">
      <c r="J81" s="86">
        <v>43937</v>
      </c>
      <c r="K81" s="101">
        <v>2866</v>
      </c>
      <c r="L81" s="101">
        <v>583</v>
      </c>
    </row>
    <row r="82" spans="10:12" x14ac:dyDescent="0.2">
      <c r="J82" s="86">
        <v>43938</v>
      </c>
      <c r="K82" s="101">
        <v>3380</v>
      </c>
      <c r="L82" s="101">
        <v>315</v>
      </c>
    </row>
    <row r="83" spans="10:12" x14ac:dyDescent="0.2">
      <c r="J83" s="86">
        <v>43939</v>
      </c>
      <c r="K83" s="101">
        <v>3609</v>
      </c>
      <c r="L83" s="101">
        <v>346</v>
      </c>
    </row>
    <row r="84" spans="10:12" x14ac:dyDescent="0.2">
      <c r="J84" s="86">
        <v>43940</v>
      </c>
      <c r="K84" s="101">
        <v>2458</v>
      </c>
      <c r="L84" s="101">
        <v>325</v>
      </c>
    </row>
    <row r="85" spans="10:12" x14ac:dyDescent="0.2">
      <c r="J85" s="86">
        <v>43941</v>
      </c>
      <c r="K85" s="101">
        <v>1775</v>
      </c>
      <c r="L85" s="101">
        <v>336</v>
      </c>
    </row>
    <row r="86" spans="10:12" x14ac:dyDescent="0.2">
      <c r="J86" s="86">
        <v>43942</v>
      </c>
      <c r="K86" s="101">
        <v>1785</v>
      </c>
      <c r="L86" s="101">
        <v>168</v>
      </c>
    </row>
    <row r="87" spans="10:12" x14ac:dyDescent="0.2">
      <c r="J87" s="86">
        <v>43943</v>
      </c>
      <c r="K87" s="101">
        <v>2237</v>
      </c>
      <c r="L87" s="101">
        <v>155</v>
      </c>
    </row>
    <row r="88" spans="10:12" x14ac:dyDescent="0.2">
      <c r="J88" s="86">
        <v>43944</v>
      </c>
      <c r="K88" s="101">
        <v>2352</v>
      </c>
      <c r="L88" s="101">
        <v>205</v>
      </c>
    </row>
    <row r="89" spans="10:12" x14ac:dyDescent="0.2">
      <c r="J89" s="86">
        <v>43945</v>
      </c>
      <c r="K89" s="101">
        <v>2337</v>
      </c>
      <c r="L89" s="101">
        <v>228</v>
      </c>
    </row>
    <row r="90" spans="10:12" x14ac:dyDescent="0.2">
      <c r="J90" s="86">
        <v>43946</v>
      </c>
      <c r="K90" s="101">
        <v>2055</v>
      </c>
      <c r="L90" s="101">
        <v>181</v>
      </c>
    </row>
    <row r="91" spans="10:12" x14ac:dyDescent="0.2">
      <c r="J91" s="86">
        <v>43947</v>
      </c>
      <c r="K91" s="101">
        <v>1737</v>
      </c>
      <c r="L91" s="178">
        <v>216</v>
      </c>
    </row>
    <row r="92" spans="10:12" x14ac:dyDescent="0.2">
      <c r="J92" s="86">
        <v>43948</v>
      </c>
      <c r="K92" s="101">
        <v>1018</v>
      </c>
      <c r="L92" s="178">
        <v>167</v>
      </c>
    </row>
    <row r="93" spans="10:12" x14ac:dyDescent="0.2">
      <c r="J93" s="86">
        <v>43949</v>
      </c>
      <c r="K93" s="101">
        <v>1144</v>
      </c>
      <c r="L93" s="101">
        <v>103</v>
      </c>
    </row>
    <row r="94" spans="10:12" x14ac:dyDescent="0.2">
      <c r="J94" s="86">
        <v>43950</v>
      </c>
      <c r="K94" s="101">
        <v>1304</v>
      </c>
      <c r="L94" s="101">
        <v>100</v>
      </c>
    </row>
    <row r="95" spans="10:12" x14ac:dyDescent="0.2">
      <c r="J95" s="86">
        <v>43951</v>
      </c>
      <c r="K95" s="101">
        <v>1478</v>
      </c>
      <c r="L95" s="101">
        <v>143</v>
      </c>
    </row>
    <row r="96" spans="10:12" x14ac:dyDescent="0.2">
      <c r="J96" s="86">
        <v>43952</v>
      </c>
      <c r="K96" s="101">
        <f>2584/2</f>
        <v>1292</v>
      </c>
      <c r="L96" s="101">
        <v>179</v>
      </c>
    </row>
    <row r="97" spans="10:12" x14ac:dyDescent="0.2">
      <c r="J97" s="86">
        <v>43953</v>
      </c>
      <c r="K97" s="101">
        <f>2584/2</f>
        <v>1292</v>
      </c>
      <c r="L97" s="101">
        <v>119</v>
      </c>
    </row>
    <row r="98" spans="10:12" x14ac:dyDescent="0.2">
      <c r="J98" s="86">
        <v>43954</v>
      </c>
      <c r="K98" s="101">
        <v>793</v>
      </c>
      <c r="L98" s="101">
        <v>112</v>
      </c>
    </row>
    <row r="99" spans="10:12" x14ac:dyDescent="0.2">
      <c r="J99" s="86">
        <v>43955</v>
      </c>
      <c r="K99" s="101">
        <v>679</v>
      </c>
      <c r="L99" s="101">
        <v>88</v>
      </c>
    </row>
    <row r="100" spans="10:12" x14ac:dyDescent="0.2">
      <c r="J100" s="86">
        <v>43956</v>
      </c>
      <c r="K100" s="101">
        <v>685</v>
      </c>
      <c r="L100" s="101">
        <v>76</v>
      </c>
    </row>
    <row r="101" spans="10:12" x14ac:dyDescent="0.2">
      <c r="J101" s="86">
        <v>43957</v>
      </c>
      <c r="K101" s="101">
        <v>1037</v>
      </c>
      <c r="L101" s="101">
        <v>28</v>
      </c>
    </row>
    <row r="102" spans="10:12" x14ac:dyDescent="0.2">
      <c r="J102" s="86">
        <v>43958</v>
      </c>
      <c r="K102" s="101">
        <v>1194</v>
      </c>
      <c r="L102" s="101">
        <v>51</v>
      </c>
    </row>
    <row r="103" spans="10:12" x14ac:dyDescent="0.2">
      <c r="J103" s="86">
        <v>43959</v>
      </c>
      <c r="K103" s="101">
        <v>1209</v>
      </c>
      <c r="L103" s="101">
        <v>66</v>
      </c>
    </row>
    <row r="104" spans="10:12" x14ac:dyDescent="0.2">
      <c r="J104" s="86">
        <v>43960</v>
      </c>
      <c r="K104" s="101">
        <v>1251</v>
      </c>
      <c r="L104" s="101">
        <v>81</v>
      </c>
    </row>
    <row r="105" spans="10:12" x14ac:dyDescent="0.2">
      <c r="J105" s="86">
        <v>43961</v>
      </c>
      <c r="K105" s="101">
        <v>667</v>
      </c>
      <c r="L105" s="101">
        <v>44</v>
      </c>
    </row>
    <row r="106" spans="10:12" x14ac:dyDescent="0.2">
      <c r="J106" s="86">
        <v>43962</v>
      </c>
      <c r="K106" s="101">
        <v>357</v>
      </c>
      <c r="L106" s="101">
        <v>54</v>
      </c>
    </row>
    <row r="107" spans="10:12" x14ac:dyDescent="0.2">
      <c r="J107" s="86">
        <v>43963</v>
      </c>
      <c r="K107" s="101">
        <v>933</v>
      </c>
      <c r="L107" s="101">
        <v>39</v>
      </c>
    </row>
    <row r="108" spans="10:12" x14ac:dyDescent="0.2">
      <c r="J108" s="86">
        <v>43964</v>
      </c>
      <c r="K108" s="101">
        <v>798</v>
      </c>
      <c r="L108" s="101">
        <v>36</v>
      </c>
    </row>
    <row r="109" spans="10:12" x14ac:dyDescent="0.2">
      <c r="J109" s="86">
        <v>43965</v>
      </c>
      <c r="K109" s="101">
        <v>933</v>
      </c>
      <c r="L109" s="101">
        <v>33</v>
      </c>
    </row>
    <row r="110" spans="10:12" x14ac:dyDescent="0.2">
      <c r="J110" s="86">
        <v>43966</v>
      </c>
      <c r="K110" s="101">
        <v>913</v>
      </c>
      <c r="L110" s="101">
        <v>50</v>
      </c>
    </row>
    <row r="111" spans="10:12" x14ac:dyDescent="0.2">
      <c r="J111" s="86">
        <v>43967</v>
      </c>
      <c r="K111" s="101">
        <v>620</v>
      </c>
      <c r="L111" s="178">
        <v>51</v>
      </c>
    </row>
    <row r="112" spans="10:12" x14ac:dyDescent="0.2">
      <c r="J112" s="86">
        <v>43968</v>
      </c>
      <c r="K112" s="178"/>
      <c r="L112" s="178"/>
    </row>
    <row r="113" spans="10:12" x14ac:dyDescent="0.2">
      <c r="J113" s="86">
        <v>43969</v>
      </c>
      <c r="K113" s="178"/>
      <c r="L113" s="178"/>
    </row>
    <row r="114" spans="10:12" x14ac:dyDescent="0.2">
      <c r="J114" s="86">
        <v>43970</v>
      </c>
      <c r="K114" s="178"/>
      <c r="L114" s="178"/>
    </row>
    <row r="115" spans="10:12" x14ac:dyDescent="0.2">
      <c r="J115" s="86">
        <v>43971</v>
      </c>
      <c r="K115" s="178"/>
      <c r="L115" s="178"/>
    </row>
    <row r="116" spans="10:12" x14ac:dyDescent="0.2">
      <c r="J116" s="86">
        <v>43972</v>
      </c>
      <c r="K116" s="178"/>
      <c r="L116" s="178"/>
    </row>
    <row r="117" spans="10:12" x14ac:dyDescent="0.2">
      <c r="J117" s="86">
        <v>43973</v>
      </c>
      <c r="K117" s="178"/>
      <c r="L117" s="178"/>
    </row>
    <row r="118" spans="10:12" x14ac:dyDescent="0.2">
      <c r="J118" s="86">
        <v>43974</v>
      </c>
      <c r="K118" s="178"/>
      <c r="L118" s="178"/>
    </row>
    <row r="119" spans="10:12" x14ac:dyDescent="0.2">
      <c r="J119" s="86">
        <v>43975</v>
      </c>
      <c r="K119" s="178"/>
      <c r="L119" s="178"/>
    </row>
    <row r="120" spans="10:12" x14ac:dyDescent="0.2">
      <c r="J120" s="86">
        <v>43976</v>
      </c>
      <c r="K120" s="178"/>
      <c r="L120" s="178"/>
    </row>
    <row r="121" spans="10:12" x14ac:dyDescent="0.2">
      <c r="J121" s="86">
        <v>43977</v>
      </c>
      <c r="K121" s="178"/>
      <c r="L121" s="178"/>
    </row>
    <row r="122" spans="10:12" x14ac:dyDescent="0.2">
      <c r="J122" s="86">
        <v>43978</v>
      </c>
      <c r="K122" s="178"/>
      <c r="L122" s="178"/>
    </row>
    <row r="123" spans="10:12" x14ac:dyDescent="0.2">
      <c r="J123" s="86">
        <v>43979</v>
      </c>
      <c r="K123" s="178"/>
      <c r="L123" s="178"/>
    </row>
    <row r="124" spans="10:12" x14ac:dyDescent="0.2">
      <c r="J124" s="86">
        <v>43980</v>
      </c>
      <c r="K124" s="178"/>
      <c r="L124" s="178"/>
    </row>
    <row r="125" spans="10:12" x14ac:dyDescent="0.2">
      <c r="J125" s="86">
        <v>43981</v>
      </c>
      <c r="K125" s="178"/>
      <c r="L125" s="178"/>
    </row>
    <row r="126" spans="10:12" x14ac:dyDescent="0.2">
      <c r="J126" s="86">
        <v>43982</v>
      </c>
      <c r="K126" s="178"/>
      <c r="L126" s="178"/>
    </row>
    <row r="127" spans="10:12" x14ac:dyDescent="0.2">
      <c r="J127" s="86">
        <v>43983</v>
      </c>
      <c r="K127" s="178"/>
      <c r="L127" s="178"/>
    </row>
    <row r="128" spans="10:12" x14ac:dyDescent="0.2">
      <c r="J128" s="86">
        <v>43984</v>
      </c>
      <c r="K128" s="178"/>
      <c r="L128" s="178"/>
    </row>
    <row r="129" spans="10:12" x14ac:dyDescent="0.2">
      <c r="J129" s="86">
        <v>43985</v>
      </c>
      <c r="K129" s="178"/>
      <c r="L129" s="178"/>
    </row>
    <row r="130" spans="10:12" x14ac:dyDescent="0.2">
      <c r="J130" s="86">
        <v>43986</v>
      </c>
      <c r="K130" s="178"/>
      <c r="L130" s="178"/>
    </row>
    <row r="131" spans="10:12" x14ac:dyDescent="0.2">
      <c r="J131" s="86">
        <v>43987</v>
      </c>
      <c r="K131" s="178"/>
      <c r="L131" s="178"/>
    </row>
    <row r="132" spans="10:12" x14ac:dyDescent="0.2">
      <c r="J132" s="86">
        <v>43988</v>
      </c>
      <c r="K132" s="178"/>
      <c r="L132" s="178"/>
    </row>
    <row r="133" spans="10:12" x14ac:dyDescent="0.2">
      <c r="J133" s="86">
        <v>43989</v>
      </c>
      <c r="K133" s="178"/>
      <c r="L133" s="178"/>
    </row>
    <row r="134" spans="10:12" x14ac:dyDescent="0.2">
      <c r="J134" s="86">
        <v>43990</v>
      </c>
      <c r="K134" s="178"/>
      <c r="L134" s="178"/>
    </row>
    <row r="135" spans="10:12" x14ac:dyDescent="0.2">
      <c r="J135" s="86">
        <v>43991</v>
      </c>
      <c r="K135" s="178"/>
      <c r="L135" s="178"/>
    </row>
    <row r="136" spans="10:12" x14ac:dyDescent="0.2">
      <c r="J136" s="86">
        <v>43992</v>
      </c>
      <c r="K136" s="178"/>
      <c r="L136" s="178"/>
    </row>
    <row r="137" spans="10:12" x14ac:dyDescent="0.2">
      <c r="J137" s="86">
        <v>43993</v>
      </c>
      <c r="K137" s="178"/>
      <c r="L137" s="178"/>
    </row>
    <row r="138" spans="10:12" x14ac:dyDescent="0.2">
      <c r="J138" s="86">
        <v>43994</v>
      </c>
      <c r="K138" s="178"/>
      <c r="L138" s="178"/>
    </row>
    <row r="139" spans="10:12" x14ac:dyDescent="0.2">
      <c r="J139" s="86">
        <v>43995</v>
      </c>
      <c r="K139" s="178"/>
      <c r="L139" s="178"/>
    </row>
    <row r="140" spans="10:12" x14ac:dyDescent="0.2">
      <c r="J140" s="86">
        <v>43996</v>
      </c>
      <c r="K140" s="178"/>
      <c r="L140" s="178"/>
    </row>
    <row r="141" spans="10:12" x14ac:dyDescent="0.2">
      <c r="J141" s="86">
        <v>43997</v>
      </c>
      <c r="K141" s="178"/>
      <c r="L141" s="178"/>
    </row>
    <row r="142" spans="10:12" x14ac:dyDescent="0.2">
      <c r="J142" s="86">
        <v>43998</v>
      </c>
      <c r="K142" s="178"/>
      <c r="L142" s="178"/>
    </row>
    <row r="143" spans="10:12" x14ac:dyDescent="0.2">
      <c r="J143" s="86">
        <v>43999</v>
      </c>
      <c r="K143" s="178"/>
      <c r="L143" s="178"/>
    </row>
    <row r="144" spans="10:12" x14ac:dyDescent="0.2">
      <c r="J144" s="86">
        <v>44000</v>
      </c>
      <c r="K144" s="178"/>
      <c r="L144" s="178"/>
    </row>
    <row r="145" spans="10:12" x14ac:dyDescent="0.2">
      <c r="J145" s="86">
        <v>44001</v>
      </c>
      <c r="K145" s="178"/>
      <c r="L145" s="178"/>
    </row>
    <row r="146" spans="10:12" x14ac:dyDescent="0.2">
      <c r="J146" s="86">
        <v>44002</v>
      </c>
      <c r="K146" s="178"/>
      <c r="L146" s="178"/>
    </row>
    <row r="147" spans="10:12" x14ac:dyDescent="0.2">
      <c r="J147" s="86">
        <v>44003</v>
      </c>
      <c r="K147" s="178"/>
      <c r="L147" s="178"/>
    </row>
    <row r="148" spans="10:12" x14ac:dyDescent="0.2">
      <c r="J148" s="86">
        <v>44004</v>
      </c>
      <c r="K148" s="178"/>
      <c r="L148" s="178"/>
    </row>
    <row r="149" spans="10:12" x14ac:dyDescent="0.2">
      <c r="J149" s="86">
        <v>44005</v>
      </c>
      <c r="K149" s="178"/>
      <c r="L149" s="178"/>
    </row>
    <row r="150" spans="10:12" x14ac:dyDescent="0.2">
      <c r="J150" s="86">
        <v>44006</v>
      </c>
      <c r="K150" s="178"/>
      <c r="L150" s="178"/>
    </row>
    <row r="151" spans="10:12" x14ac:dyDescent="0.2">
      <c r="J151" s="86">
        <v>44007</v>
      </c>
      <c r="K151" s="178"/>
      <c r="L151" s="178"/>
    </row>
    <row r="152" spans="10:12" x14ac:dyDescent="0.2">
      <c r="J152" s="86">
        <v>44008</v>
      </c>
      <c r="K152" s="178"/>
      <c r="L152" s="178"/>
    </row>
    <row r="153" spans="10:12" x14ac:dyDescent="0.2">
      <c r="J153" s="86">
        <v>44009</v>
      </c>
      <c r="K153" s="178"/>
      <c r="L153" s="178"/>
    </row>
    <row r="154" spans="10:12" x14ac:dyDescent="0.2">
      <c r="J154" s="86">
        <v>44010</v>
      </c>
      <c r="K154" s="178"/>
      <c r="L154" s="178"/>
    </row>
    <row r="155" spans="10:12" x14ac:dyDescent="0.2">
      <c r="J155" s="86">
        <v>44011</v>
      </c>
      <c r="K155" s="178"/>
      <c r="L155" s="178"/>
    </row>
    <row r="156" spans="10:12" x14ac:dyDescent="0.2">
      <c r="J156" s="86">
        <v>44012</v>
      </c>
      <c r="K156" s="178"/>
      <c r="L156" s="178"/>
    </row>
    <row r="157" spans="10:12" x14ac:dyDescent="0.2">
      <c r="J157" s="86">
        <v>44013</v>
      </c>
      <c r="K157" s="178"/>
      <c r="L157" s="178"/>
    </row>
    <row r="158" spans="10:12" x14ac:dyDescent="0.2">
      <c r="J158" s="86">
        <v>44014</v>
      </c>
      <c r="K158" s="178"/>
      <c r="L158" s="178"/>
    </row>
    <row r="159" spans="10:12" x14ac:dyDescent="0.2">
      <c r="J159" s="86">
        <v>44015</v>
      </c>
      <c r="K159" s="178"/>
      <c r="L159" s="178"/>
    </row>
    <row r="160" spans="10:12" x14ac:dyDescent="0.2">
      <c r="J160" s="86">
        <v>44016</v>
      </c>
      <c r="K160" s="178"/>
      <c r="L160" s="178"/>
    </row>
    <row r="161" spans="10:12" x14ac:dyDescent="0.2">
      <c r="J161" s="86">
        <v>44017</v>
      </c>
      <c r="K161" s="178"/>
      <c r="L161" s="178"/>
    </row>
    <row r="162" spans="10:12" x14ac:dyDescent="0.2">
      <c r="J162" s="86">
        <v>44018</v>
      </c>
      <c r="K162" s="178"/>
      <c r="L162" s="178"/>
    </row>
    <row r="163" spans="10:12" x14ac:dyDescent="0.2">
      <c r="J163" s="86">
        <v>44019</v>
      </c>
      <c r="K163" s="178"/>
      <c r="L163" s="178"/>
    </row>
    <row r="164" spans="10:12" x14ac:dyDescent="0.2">
      <c r="J164" s="86">
        <v>44020</v>
      </c>
      <c r="K164" s="178"/>
      <c r="L164" s="178"/>
    </row>
    <row r="165" spans="10:12" x14ac:dyDescent="0.2">
      <c r="J165" s="86">
        <v>44021</v>
      </c>
      <c r="K165" s="178"/>
      <c r="L165" s="178"/>
    </row>
    <row r="166" spans="10:12" x14ac:dyDescent="0.2">
      <c r="J166" s="86">
        <v>44022</v>
      </c>
      <c r="K166" s="178"/>
      <c r="L166" s="178"/>
    </row>
    <row r="167" spans="10:12" x14ac:dyDescent="0.2">
      <c r="J167" s="86">
        <v>44023</v>
      </c>
      <c r="K167" s="178"/>
      <c r="L167" s="178"/>
    </row>
    <row r="168" spans="10:12" x14ac:dyDescent="0.2">
      <c r="J168" s="86">
        <v>44024</v>
      </c>
      <c r="K168" s="178"/>
      <c r="L168" s="178"/>
    </row>
    <row r="169" spans="10:12" x14ac:dyDescent="0.2">
      <c r="J169" s="86">
        <v>44025</v>
      </c>
      <c r="K169" s="178"/>
      <c r="L169" s="178"/>
    </row>
    <row r="170" spans="10:12" x14ac:dyDescent="0.2">
      <c r="J170" s="86">
        <v>44026</v>
      </c>
      <c r="K170" s="178"/>
      <c r="L170" s="178"/>
    </row>
    <row r="171" spans="10:12" x14ac:dyDescent="0.2">
      <c r="J171" s="86">
        <v>44027</v>
      </c>
      <c r="K171" s="178"/>
      <c r="L171" s="178"/>
    </row>
    <row r="172" spans="10:12" x14ac:dyDescent="0.2">
      <c r="J172" s="86">
        <v>44028</v>
      </c>
      <c r="K172" s="178"/>
      <c r="L172" s="178"/>
    </row>
    <row r="173" spans="10:12" x14ac:dyDescent="0.2">
      <c r="J173" s="86">
        <v>44029</v>
      </c>
      <c r="K173" s="178"/>
      <c r="L173" s="178"/>
    </row>
    <row r="174" spans="10:12" x14ac:dyDescent="0.2">
      <c r="J174" s="86">
        <v>44030</v>
      </c>
      <c r="K174" s="178"/>
      <c r="L174" s="178"/>
    </row>
    <row r="175" spans="10:12" x14ac:dyDescent="0.2">
      <c r="J175" s="86">
        <v>44031</v>
      </c>
      <c r="K175" s="178"/>
      <c r="L175" s="178"/>
    </row>
    <row r="176" spans="10:12" x14ac:dyDescent="0.2">
      <c r="J176" s="86">
        <v>44032</v>
      </c>
      <c r="K176" s="178"/>
      <c r="L176" s="178"/>
    </row>
    <row r="177" spans="10:12" x14ac:dyDescent="0.2">
      <c r="J177" s="86">
        <v>44033</v>
      </c>
      <c r="K177" s="178"/>
      <c r="L177" s="178"/>
    </row>
    <row r="178" spans="10:12" x14ac:dyDescent="0.2">
      <c r="J178" s="86">
        <v>44034</v>
      </c>
      <c r="K178" s="178"/>
      <c r="L178" s="178"/>
    </row>
    <row r="179" spans="10:12" x14ac:dyDescent="0.2">
      <c r="J179" s="86">
        <v>44035</v>
      </c>
      <c r="K179" s="178"/>
      <c r="L179" s="178"/>
    </row>
    <row r="180" spans="10:12" x14ac:dyDescent="0.2">
      <c r="J180" s="86">
        <v>44036</v>
      </c>
      <c r="K180" s="178"/>
      <c r="L180" s="178"/>
    </row>
    <row r="181" spans="10:12" x14ac:dyDescent="0.2">
      <c r="J181" s="86">
        <v>44037</v>
      </c>
      <c r="K181" s="178"/>
      <c r="L181" s="178"/>
    </row>
    <row r="182" spans="10:12" x14ac:dyDescent="0.2">
      <c r="J182" s="86">
        <v>44038</v>
      </c>
      <c r="K182" s="178"/>
      <c r="L182" s="178"/>
    </row>
    <row r="183" spans="10:12" x14ac:dyDescent="0.2">
      <c r="J183" s="86">
        <v>44039</v>
      </c>
      <c r="K183" s="178"/>
      <c r="L183" s="178"/>
    </row>
    <row r="184" spans="10:12" x14ac:dyDescent="0.2">
      <c r="J184" s="86">
        <v>44040</v>
      </c>
      <c r="K184" s="178"/>
      <c r="L184" s="178"/>
    </row>
    <row r="185" spans="10:12" x14ac:dyDescent="0.2">
      <c r="J185" s="86">
        <v>44041</v>
      </c>
      <c r="K185" s="178"/>
      <c r="L185" s="178"/>
    </row>
    <row r="186" spans="10:12" x14ac:dyDescent="0.2">
      <c r="J186" s="86">
        <v>44042</v>
      </c>
      <c r="K186" s="178"/>
      <c r="L186" s="178"/>
    </row>
    <row r="187" spans="10:12" x14ac:dyDescent="0.2">
      <c r="J187" s="86">
        <v>44043</v>
      </c>
      <c r="K187" s="178"/>
      <c r="L187" s="178"/>
    </row>
    <row r="188" spans="10:12" x14ac:dyDescent="0.2">
      <c r="J188" s="86">
        <v>44044</v>
      </c>
      <c r="K188" s="178"/>
      <c r="L188" s="178"/>
    </row>
    <row r="189" spans="10:12" x14ac:dyDescent="0.2">
      <c r="J189" s="86">
        <v>44045</v>
      </c>
      <c r="K189" s="178"/>
      <c r="L189" s="178"/>
    </row>
    <row r="190" spans="10:12" x14ac:dyDescent="0.2">
      <c r="J190" s="86">
        <v>44046</v>
      </c>
      <c r="K190" s="178"/>
      <c r="L190" s="178"/>
    </row>
    <row r="191" spans="10:12" x14ac:dyDescent="0.2">
      <c r="J191" s="86">
        <v>44047</v>
      </c>
      <c r="K191" s="178"/>
      <c r="L191" s="178"/>
    </row>
    <row r="192" spans="10:12" x14ac:dyDescent="0.2">
      <c r="J192" s="86">
        <v>44048</v>
      </c>
      <c r="K192" s="178"/>
      <c r="L192" s="178"/>
    </row>
    <row r="193" spans="10:12" x14ac:dyDescent="0.2">
      <c r="J193" s="86">
        <v>44049</v>
      </c>
      <c r="K193" s="178"/>
      <c r="L193" s="178"/>
    </row>
    <row r="194" spans="10:12" x14ac:dyDescent="0.2">
      <c r="J194" s="86">
        <v>44050</v>
      </c>
      <c r="K194" s="178"/>
      <c r="L194" s="178"/>
    </row>
    <row r="195" spans="10:12" x14ac:dyDescent="0.2">
      <c r="J195" s="86">
        <v>44051</v>
      </c>
      <c r="K195" s="178"/>
      <c r="L195" s="178"/>
    </row>
    <row r="196" spans="10:12" x14ac:dyDescent="0.2">
      <c r="J196" s="86">
        <v>44052</v>
      </c>
      <c r="K196" s="178"/>
      <c r="L196" s="178"/>
    </row>
    <row r="197" spans="10:12" x14ac:dyDescent="0.2">
      <c r="J197" s="86">
        <v>44053</v>
      </c>
      <c r="K197" s="178"/>
      <c r="L197" s="178"/>
    </row>
    <row r="198" spans="10:12" x14ac:dyDescent="0.2">
      <c r="J198" s="86">
        <v>44054</v>
      </c>
      <c r="K198" s="178"/>
      <c r="L198" s="178"/>
    </row>
    <row r="199" spans="10:12" x14ac:dyDescent="0.2">
      <c r="J199" s="86">
        <v>44055</v>
      </c>
      <c r="K199" s="178"/>
      <c r="L199" s="178"/>
    </row>
    <row r="200" spans="10:12" x14ac:dyDescent="0.2">
      <c r="J200" s="86">
        <v>44056</v>
      </c>
      <c r="K200" s="178"/>
      <c r="L200" s="178"/>
    </row>
    <row r="201" spans="10:12" x14ac:dyDescent="0.2">
      <c r="J201" s="86">
        <v>44057</v>
      </c>
      <c r="K201" s="178"/>
      <c r="L201" s="178"/>
    </row>
    <row r="202" spans="10:12" x14ac:dyDescent="0.2">
      <c r="J202" s="86">
        <v>44058</v>
      </c>
      <c r="K202" s="178"/>
      <c r="L202" s="178"/>
    </row>
    <row r="203" spans="10:12" x14ac:dyDescent="0.2">
      <c r="J203" s="86">
        <v>44059</v>
      </c>
      <c r="K203" s="178"/>
      <c r="L203" s="178"/>
    </row>
    <row r="204" spans="10:12" x14ac:dyDescent="0.2">
      <c r="J204" s="86">
        <v>44060</v>
      </c>
      <c r="K204" s="178"/>
      <c r="L204" s="178"/>
    </row>
    <row r="205" spans="10:12" x14ac:dyDescent="0.2">
      <c r="J205" s="86">
        <v>44061</v>
      </c>
      <c r="K205" s="178"/>
      <c r="L205" s="178"/>
    </row>
    <row r="206" spans="10:12" x14ac:dyDescent="0.2">
      <c r="J206" s="86">
        <v>44062</v>
      </c>
      <c r="K206" s="178"/>
      <c r="L206" s="178"/>
    </row>
    <row r="207" spans="10:12" x14ac:dyDescent="0.2">
      <c r="J207" s="86">
        <v>44063</v>
      </c>
      <c r="K207" s="178"/>
      <c r="L207" s="178"/>
    </row>
    <row r="208" spans="10:12" x14ac:dyDescent="0.2">
      <c r="J208" s="86">
        <v>44064</v>
      </c>
      <c r="K208" s="178"/>
      <c r="L208" s="178"/>
    </row>
    <row r="209" spans="10:12" x14ac:dyDescent="0.2">
      <c r="J209" s="86">
        <v>44065</v>
      </c>
      <c r="K209" s="178"/>
      <c r="L209" s="178"/>
    </row>
    <row r="210" spans="10:12" x14ac:dyDescent="0.2">
      <c r="J210" s="86">
        <v>44066</v>
      </c>
      <c r="K210" s="178"/>
      <c r="L210" s="178"/>
    </row>
    <row r="211" spans="10:12" x14ac:dyDescent="0.2">
      <c r="J211" s="86">
        <v>44067</v>
      </c>
      <c r="K211" s="178"/>
      <c r="L211" s="178"/>
    </row>
    <row r="212" spans="10:12" x14ac:dyDescent="0.2">
      <c r="J212" s="86">
        <v>44068</v>
      </c>
      <c r="K212" s="178"/>
      <c r="L212" s="178"/>
    </row>
    <row r="213" spans="10:12" x14ac:dyDescent="0.2">
      <c r="J213" s="86">
        <v>44069</v>
      </c>
      <c r="K213" s="178"/>
      <c r="L213" s="178"/>
    </row>
    <row r="214" spans="10:12" x14ac:dyDescent="0.2">
      <c r="J214" s="86">
        <v>44070</v>
      </c>
      <c r="K214" s="178"/>
      <c r="L214" s="178"/>
    </row>
    <row r="215" spans="10:12" x14ac:dyDescent="0.2">
      <c r="J215" s="86">
        <v>44071</v>
      </c>
      <c r="K215" s="178"/>
      <c r="L215" s="178"/>
    </row>
    <row r="216" spans="10:12" x14ac:dyDescent="0.2">
      <c r="J216" s="86">
        <v>44072</v>
      </c>
      <c r="K216" s="178"/>
      <c r="L216" s="178"/>
    </row>
    <row r="217" spans="10:12" x14ac:dyDescent="0.2">
      <c r="J217" s="86">
        <v>44073</v>
      </c>
      <c r="K217" s="178"/>
      <c r="L217" s="178"/>
    </row>
    <row r="218" spans="10:12" x14ac:dyDescent="0.2">
      <c r="J218" s="86">
        <v>44074</v>
      </c>
      <c r="K218" s="178"/>
      <c r="L218" s="178"/>
    </row>
  </sheetData>
  <mergeCells count="2">
    <mergeCell ref="H1:H3"/>
    <mergeCell ref="D1:D3"/>
  </mergeCells>
  <conditionalFormatting sqref="D1">
    <cfRule type="expression" dxfId="10" priority="21">
      <formula>($B$1="Schweiz")</formula>
    </cfRule>
  </conditionalFormatting>
  <conditionalFormatting sqref="L108:L110">
    <cfRule type="expression" dxfId="9" priority="5">
      <formula>(J108&lt;=_Datum)</formula>
    </cfRule>
  </conditionalFormatting>
  <conditionalFormatting sqref="L93:L107">
    <cfRule type="expression" dxfId="8" priority="4">
      <formula>(J93&lt;=_Datum)</formula>
    </cfRule>
  </conditionalFormatting>
  <conditionalFormatting sqref="K2:K111">
    <cfRule type="expression" dxfId="7" priority="10">
      <formula>(I2&lt;=_Datum)</formula>
    </cfRule>
  </conditionalFormatting>
  <conditionalFormatting sqref="K2:K111">
    <cfRule type="expression" dxfId="6" priority="9">
      <formula>(I2&lt;=_Datum)</formula>
    </cfRule>
  </conditionalFormatting>
  <conditionalFormatting sqref="K76:K77">
    <cfRule type="expression" dxfId="5" priority="8">
      <formula>(I76&lt;=_Datum)</formula>
    </cfRule>
  </conditionalFormatting>
  <conditionalFormatting sqref="K3">
    <cfRule type="expression" dxfId="4" priority="7">
      <formula>(I3&lt;=_Datum)</formula>
    </cfRule>
  </conditionalFormatting>
  <conditionalFormatting sqref="L108:L110">
    <cfRule type="expression" dxfId="3" priority="6">
      <formula>(J108&lt;=_Datum)</formula>
    </cfRule>
  </conditionalFormatting>
  <conditionalFormatting sqref="L90">
    <cfRule type="expression" dxfId="2" priority="3">
      <formula>(K90&lt;=_Datum)</formula>
    </cfRule>
  </conditionalFormatting>
  <conditionalFormatting sqref="L78:L89">
    <cfRule type="expression" dxfId="1" priority="2">
      <formula>(K78&lt;=_Datum)</formula>
    </cfRule>
  </conditionalFormatting>
  <conditionalFormatting sqref="L76:L77">
    <cfRule type="expression" dxfId="0" priority="1">
      <formula>(K76&lt;=_Datum)</formula>
    </cfRule>
  </conditionalFormatting>
  <dataValidations count="1">
    <dataValidation type="list" allowBlank="1" showInputMessage="1" showErrorMessage="1" sqref="B1" xr:uid="{00000000-0002-0000-0700-000000000000}">
      <formula1>$G$7:$H$7</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21</vt:i4>
      </vt:variant>
    </vt:vector>
  </HeadingPairs>
  <TitlesOfParts>
    <vt:vector size="29" baseType="lpstr">
      <vt:lpstr>Beschreibung &amp; Aktualisierung</vt:lpstr>
      <vt:lpstr>Erkrankungs- und Strukturdaten</vt:lpstr>
      <vt:lpstr>Prognoseparameter</vt:lpstr>
      <vt:lpstr>Fallzahlen (Berechnung)</vt:lpstr>
      <vt:lpstr>Prognoseergebnis</vt:lpstr>
      <vt:lpstr>Grafische Darstellung</vt:lpstr>
      <vt:lpstr>Information zu den Updates</vt:lpstr>
      <vt:lpstr>Stammdaten</vt:lpstr>
      <vt:lpstr>_Ausgangswert</vt:lpstr>
      <vt:lpstr>_AusgangswertKURZ</vt:lpstr>
      <vt:lpstr>_Bundesweit</vt:lpstr>
      <vt:lpstr>_bundesweite</vt:lpstr>
      <vt:lpstr>_bundesweiten</vt:lpstr>
      <vt:lpstr>_Datum</vt:lpstr>
      <vt:lpstr>_DynWR</vt:lpstr>
      <vt:lpstr>_Krankenhaus</vt:lpstr>
      <vt:lpstr>_Krankenhäuser</vt:lpstr>
      <vt:lpstr>_Krankenhäusern</vt:lpstr>
      <vt:lpstr>_Methodik</vt:lpstr>
      <vt:lpstr>_StabWR</vt:lpstr>
      <vt:lpstr>_Wachstumsrate</vt:lpstr>
      <vt:lpstr>_WachstumsrateKURZ</vt:lpstr>
      <vt:lpstr>_WR</vt:lpstr>
      <vt:lpstr>'Beschreibung &amp; Aktualisierung'!Druckbereich</vt:lpstr>
      <vt:lpstr>'Erkrankungs- und Strukturdaten'!Druckbereich</vt:lpstr>
      <vt:lpstr>'Grafische Darstellung'!Druckbereich</vt:lpstr>
      <vt:lpstr>'Information zu den Updates'!Druckbereich</vt:lpstr>
      <vt:lpstr>Prognoseergebnis!Druckbereich</vt:lpstr>
      <vt:lpstr>Prognoseparameter!Druckbereich</vt:lpstr>
    </vt:vector>
  </TitlesOfParts>
  <Company>ZeQ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 Wissmann</dc:creator>
  <cp:lastModifiedBy>Lisa Kramer</cp:lastModifiedBy>
  <cp:lastPrinted>2021-04-14T14:31:11Z</cp:lastPrinted>
  <dcterms:created xsi:type="dcterms:W3CDTF">2008-10-17T13:50:24Z</dcterms:created>
  <dcterms:modified xsi:type="dcterms:W3CDTF">2021-04-15T12:55:17Z</dcterms:modified>
</cp:coreProperties>
</file>