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codeName="DieseArbeitsmappe"/>
  <mc:AlternateContent xmlns:mc="http://schemas.openxmlformats.org/markup-compatibility/2006">
    <mc:Choice Requires="x15">
      <x15ac:absPath xmlns:x15ac="http://schemas.microsoft.com/office/spreadsheetml/2010/11/ac" url="Z:\03 Standards\03_PRD Produkte\03_PRD_STR Strategie\03_PRD_STR_COV Covid-19\03_PRD_STR_COV_01 Szenario-Rechner\online\"/>
    </mc:Choice>
  </mc:AlternateContent>
  <xr:revisionPtr revIDLastSave="0" documentId="8_{7381B023-BCCC-42C4-8236-926E4470F2B8}" xr6:coauthVersionLast="46" xr6:coauthVersionMax="46" xr10:uidLastSave="{00000000-0000-0000-0000-000000000000}"/>
  <workbookProtection workbookPassword="8C78" lockStructure="1"/>
  <bookViews>
    <workbookView xWindow="28680" yWindow="-180" windowWidth="29040" windowHeight="15840" tabRatio="755" activeTab="3" xr2:uid="{00000000-000D-0000-FFFF-FFFF00000000}"/>
  </bookViews>
  <sheets>
    <sheet name="Beschreibung &amp; Aktualisierung" sheetId="10" r:id="rId1"/>
    <sheet name="Erkrankungs- und Strukturdaten" sheetId="9" r:id="rId2"/>
    <sheet name="Prognoseparameter" sheetId="17" r:id="rId3"/>
    <sheet name="Fallzahlen (Berechnung)" sheetId="14" r:id="rId4"/>
    <sheet name="Prognoseergebnis" sheetId="8" r:id="rId5"/>
    <sheet name="Grafische Darstellung" sheetId="15" r:id="rId6"/>
    <sheet name="Information zu den Updates" sheetId="18" r:id="rId7"/>
    <sheet name="Stammdaten" sheetId="19" state="hidden" r:id="rId8"/>
  </sheets>
  <definedNames>
    <definedName name="_Ausgangswert">Prognoseparameter!$C$11</definedName>
    <definedName name="_AusgangswertKURZ">Prognoseparameter!$U$11</definedName>
    <definedName name="_Bundesweit">Stammdaten!$F$12</definedName>
    <definedName name="_bundesweite">Stammdaten!$F$13</definedName>
    <definedName name="_bundesweiten">Stammdaten!$F$14</definedName>
    <definedName name="_Datum">Prognoseparameter!$C$9</definedName>
    <definedName name="_DynWR">Stammdaten!$B$7</definedName>
    <definedName name="_Krankenhaus">Stammdaten!$F$9</definedName>
    <definedName name="_Krankenhäuser">Stammdaten!$F$10</definedName>
    <definedName name="_Krankenhäusern">Stammdaten!$F$11</definedName>
    <definedName name="_Methodik">Prognoseparameter!$U$18</definedName>
    <definedName name="_StabWR">Stammdaten!$B$8</definedName>
    <definedName name="_Wachstumsrate">Prognoseparameter!$C$15</definedName>
    <definedName name="_WachstumsrateKURZ">Prognoseparameter!$U$15</definedName>
    <definedName name="_WR">'Fallzahlen (Berechnung)'!$B$29</definedName>
    <definedName name="_xlnm.Print_Area" localSheetId="0">'Beschreibung &amp; Aktualisierung'!$A$4:$G$42</definedName>
    <definedName name="_xlnm.Print_Area" localSheetId="1">'Erkrankungs- und Strukturdaten'!$A$1:$D$30</definedName>
    <definedName name="_xlnm.Print_Area" localSheetId="5">'Grafische Darstellung'!$A$1:$AM$107</definedName>
    <definedName name="_xlnm.Print_Area" localSheetId="6">'Information zu den Updates'!$A$4:$G$138</definedName>
    <definedName name="_xlnm.Print_Area" localSheetId="4">Prognoseergebnis!$A$1:$T$136</definedName>
    <definedName name="_xlnm.Print_Area" localSheetId="2">Prognoseparameter!$A$1:$T$17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9" l="1"/>
  <c r="F3" i="14" s="1"/>
  <c r="T16" i="17"/>
  <c r="U18" i="17"/>
  <c r="C9" i="9" l="1"/>
  <c r="C10" i="9" s="1"/>
  <c r="C11" i="9" s="1"/>
  <c r="B17" i="14" l="1"/>
  <c r="A28" i="14" l="1"/>
  <c r="E12" i="18" l="1"/>
  <c r="E11" i="18"/>
  <c r="I4" i="14" l="1"/>
  <c r="I5" i="14" s="1"/>
  <c r="I6" i="14" s="1"/>
  <c r="I7" i="14" s="1"/>
  <c r="I8" i="14" s="1"/>
  <c r="I9" i="14" s="1"/>
  <c r="I10" i="14" s="1"/>
  <c r="I11" i="14" s="1"/>
  <c r="I12" i="14" s="1"/>
  <c r="I13" i="14" s="1"/>
  <c r="I14" i="14" s="1"/>
  <c r="I15" i="14" s="1"/>
  <c r="I16" i="14" s="1"/>
  <c r="I17" i="14" s="1"/>
  <c r="I18" i="14" s="1"/>
  <c r="I19" i="14" s="1"/>
  <c r="I20" i="14" s="1"/>
  <c r="I21" i="14" s="1"/>
  <c r="I22" i="14" s="1"/>
  <c r="I23" i="14" s="1"/>
  <c r="I24" i="14" s="1"/>
  <c r="I25" i="14" s="1"/>
  <c r="I26" i="14" s="1"/>
  <c r="I27" i="14" s="1"/>
  <c r="I28" i="14" s="1"/>
  <c r="I29" i="14" s="1"/>
  <c r="I30" i="14" s="1"/>
  <c r="I31" i="14" s="1"/>
  <c r="I32" i="14" s="1"/>
  <c r="I33" i="14" s="1"/>
  <c r="I34" i="14" s="1"/>
  <c r="I35" i="14" s="1"/>
  <c r="I36" i="14" s="1"/>
  <c r="I37" i="14" s="1"/>
  <c r="I38" i="14" s="1"/>
  <c r="I39" i="14" s="1"/>
  <c r="I40" i="14" s="1"/>
  <c r="I41" i="14" s="1"/>
  <c r="I42" i="14" s="1"/>
  <c r="I43" i="14" s="1"/>
  <c r="I44" i="14" s="1"/>
  <c r="I45" i="14" s="1"/>
  <c r="I46" i="14" s="1"/>
  <c r="I47" i="14" s="1"/>
  <c r="I48" i="14" s="1"/>
  <c r="I49" i="14" s="1"/>
  <c r="I50" i="14" s="1"/>
  <c r="I51" i="14" s="1"/>
  <c r="I52" i="14" s="1"/>
  <c r="I53" i="14" s="1"/>
  <c r="I54" i="14" s="1"/>
  <c r="I55" i="14" s="1"/>
  <c r="I56" i="14" s="1"/>
  <c r="I57" i="14" s="1"/>
  <c r="I58" i="14" s="1"/>
  <c r="I59" i="14" s="1"/>
  <c r="I60" i="14" s="1"/>
  <c r="I61" i="14" s="1"/>
  <c r="I62" i="14" s="1"/>
  <c r="I63" i="14" s="1"/>
  <c r="I64" i="14" s="1"/>
  <c r="I65" i="14" s="1"/>
  <c r="I66" i="14" s="1"/>
  <c r="I67" i="14" s="1"/>
  <c r="I68" i="14" s="1"/>
  <c r="I69" i="14" s="1"/>
  <c r="I70" i="14" s="1"/>
  <c r="I71" i="14" s="1"/>
  <c r="I72" i="14" s="1"/>
  <c r="I73" i="14" s="1"/>
  <c r="I74" i="14" s="1"/>
  <c r="I75" i="14" s="1"/>
  <c r="I76" i="14" s="1"/>
  <c r="I77" i="14" s="1"/>
  <c r="I78" i="14" s="1"/>
  <c r="I79" i="14" s="1"/>
  <c r="I80" i="14" s="1"/>
  <c r="I81" i="14" s="1"/>
  <c r="I82" i="14" s="1"/>
  <c r="I83" i="14" s="1"/>
  <c r="I84" i="14" s="1"/>
  <c r="I85" i="14" s="1"/>
  <c r="I86" i="14" s="1"/>
  <c r="I87" i="14" s="1"/>
  <c r="I88" i="14" s="1"/>
  <c r="I89" i="14" s="1"/>
  <c r="I90" i="14" s="1"/>
  <c r="I91" i="14" s="1"/>
  <c r="I92" i="14" s="1"/>
  <c r="I93" i="14" s="1"/>
  <c r="I94" i="14" s="1"/>
  <c r="I95" i="14" s="1"/>
  <c r="I96" i="14" s="1"/>
  <c r="I97" i="14" s="1"/>
  <c r="U16" i="17"/>
  <c r="A27" i="14" s="1"/>
  <c r="H4" i="14"/>
  <c r="H5" i="14" s="1"/>
  <c r="B18" i="14" l="1"/>
  <c r="K97" i="19" l="1"/>
  <c r="K96" i="19"/>
  <c r="M2" i="14"/>
  <c r="I98" i="14" l="1"/>
  <c r="I99" i="14" l="1"/>
  <c r="I100" i="14" s="1"/>
  <c r="I101" i="14" s="1"/>
  <c r="I102" i="14" s="1"/>
  <c r="I103" i="14" s="1"/>
  <c r="I104" i="14" s="1"/>
  <c r="I105" i="14" s="1"/>
  <c r="I106" i="14" s="1"/>
  <c r="I107" i="14" s="1"/>
  <c r="I108" i="14" s="1"/>
  <c r="I109" i="14" s="1"/>
  <c r="I110" i="14" s="1"/>
  <c r="I111" i="14" s="1"/>
  <c r="I112" i="14" s="1"/>
  <c r="I113" i="14" s="1"/>
  <c r="I114" i="14" s="1"/>
  <c r="I115" i="14" s="1"/>
  <c r="I116" i="14" s="1"/>
  <c r="I117" i="14" s="1"/>
  <c r="I118" i="14" s="1"/>
  <c r="I119" i="14" s="1"/>
  <c r="I120" i="14" s="1"/>
  <c r="I121" i="14" s="1"/>
  <c r="I122" i="14" s="1"/>
  <c r="I123" i="14" s="1"/>
  <c r="I124" i="14" s="1"/>
  <c r="I125" i="14" s="1"/>
  <c r="I126" i="14" s="1"/>
  <c r="I127" i="14" s="1"/>
  <c r="I128" i="14" s="1"/>
  <c r="I129" i="14" s="1"/>
  <c r="I130" i="14" s="1"/>
  <c r="I131" i="14" s="1"/>
  <c r="I132" i="14" s="1"/>
  <c r="I133" i="14" s="1"/>
  <c r="I134" i="14" s="1"/>
  <c r="I135" i="14" s="1"/>
  <c r="I136" i="14" s="1"/>
  <c r="I137" i="14" s="1"/>
  <c r="I138" i="14" s="1"/>
  <c r="I139" i="14" s="1"/>
  <c r="I140" i="14" s="1"/>
  <c r="I141" i="14" s="1"/>
  <c r="I142" i="14" s="1"/>
  <c r="I143" i="14" s="1"/>
  <c r="I144" i="14" s="1"/>
  <c r="I145" i="14" s="1"/>
  <c r="I146" i="14" s="1"/>
  <c r="I147" i="14" s="1"/>
  <c r="I148" i="14" s="1"/>
  <c r="I149" i="14" s="1"/>
  <c r="I150" i="14" s="1"/>
  <c r="I151" i="14" s="1"/>
  <c r="I152" i="14" s="1"/>
  <c r="I153" i="14" s="1"/>
  <c r="I154" i="14" s="1"/>
  <c r="I155" i="14" s="1"/>
  <c r="I156" i="14" s="1"/>
  <c r="I157" i="14" s="1"/>
  <c r="I158" i="14" s="1"/>
  <c r="I159" i="14" s="1"/>
  <c r="I160" i="14" s="1"/>
  <c r="I161" i="14" s="1"/>
  <c r="I162" i="14" s="1"/>
  <c r="I163" i="14" s="1"/>
  <c r="I164" i="14" s="1"/>
  <c r="I165" i="14" s="1"/>
  <c r="I166" i="14" s="1"/>
  <c r="I167" i="14" s="1"/>
  <c r="I168" i="14" s="1"/>
  <c r="I169" i="14" s="1"/>
  <c r="I170" i="14" s="1"/>
  <c r="I171" i="14" s="1"/>
  <c r="I172" i="14" s="1"/>
  <c r="I173" i="14" s="1"/>
  <c r="I174" i="14" s="1"/>
  <c r="I175" i="14" s="1"/>
  <c r="I176" i="14" s="1"/>
  <c r="I177" i="14" s="1"/>
  <c r="I178" i="14" s="1"/>
  <c r="I179" i="14" s="1"/>
  <c r="I180" i="14" s="1"/>
  <c r="I181" i="14" s="1"/>
  <c r="I182" i="14" s="1"/>
  <c r="I183" i="14" s="1"/>
  <c r="I184" i="14" s="1"/>
  <c r="I185" i="14" s="1"/>
  <c r="I186" i="14" s="1"/>
  <c r="I187" i="14" s="1"/>
  <c r="I188" i="14" s="1"/>
  <c r="I189" i="14" s="1"/>
  <c r="I190" i="14" s="1"/>
  <c r="I191" i="14" s="1"/>
  <c r="I192" i="14" s="1"/>
  <c r="I193" i="14" s="1"/>
  <c r="I194" i="14" s="1"/>
  <c r="I195" i="14" s="1"/>
  <c r="I196" i="14" s="1"/>
  <c r="I197" i="14" s="1"/>
  <c r="I198" i="14" s="1"/>
  <c r="I199" i="14" s="1"/>
  <c r="I200" i="14" s="1"/>
  <c r="I201" i="14" s="1"/>
  <c r="I202" i="14" s="1"/>
  <c r="I203" i="14" s="1"/>
  <c r="I204" i="14" s="1"/>
  <c r="I205" i="14" s="1"/>
  <c r="I206" i="14" s="1"/>
  <c r="I207" i="14" s="1"/>
  <c r="I208" i="14" s="1"/>
  <c r="I209" i="14" s="1"/>
  <c r="I210" i="14" s="1"/>
  <c r="I211" i="14" s="1"/>
  <c r="I212" i="14" s="1"/>
  <c r="I213" i="14" s="1"/>
  <c r="I214" i="14" s="1"/>
  <c r="I215" i="14" s="1"/>
  <c r="I216" i="14" s="1"/>
  <c r="I217" i="14" s="1"/>
  <c r="I218" i="14" s="1"/>
  <c r="I219" i="14" s="1"/>
  <c r="I220" i="14" s="1"/>
  <c r="I221" i="14" s="1"/>
  <c r="I222" i="14" s="1"/>
  <c r="I223" i="14" s="1"/>
  <c r="I224" i="14" s="1"/>
  <c r="I225" i="14" s="1"/>
  <c r="I226" i="14" s="1"/>
  <c r="I227" i="14" s="1"/>
  <c r="I228" i="14" s="1"/>
  <c r="I229" i="14" s="1"/>
  <c r="I230" i="14" s="1"/>
  <c r="I231" i="14" s="1"/>
  <c r="I232" i="14" s="1"/>
  <c r="I233" i="14" s="1"/>
  <c r="I234" i="14" s="1"/>
  <c r="I235" i="14" s="1"/>
  <c r="I236" i="14" s="1"/>
  <c r="I237" i="14" s="1"/>
  <c r="I238" i="14" s="1"/>
  <c r="I239" i="14" s="1"/>
  <c r="I240" i="14" s="1"/>
  <c r="I241" i="14" s="1"/>
  <c r="I242" i="14" s="1"/>
  <c r="I243" i="14" s="1"/>
  <c r="I244" i="14" s="1"/>
  <c r="I245" i="14" s="1"/>
  <c r="I246" i="14" s="1"/>
  <c r="I247" i="14" s="1"/>
  <c r="I248" i="14" s="1"/>
  <c r="I249" i="14" s="1"/>
  <c r="I250" i="14" s="1"/>
  <c r="I251" i="14" s="1"/>
  <c r="I252" i="14" s="1"/>
  <c r="I253" i="14" s="1"/>
  <c r="I254" i="14" s="1"/>
  <c r="I255" i="14" s="1"/>
  <c r="I256" i="14" s="1"/>
  <c r="I257" i="14" s="1"/>
  <c r="I258" i="14" s="1"/>
  <c r="I259" i="14" s="1"/>
  <c r="A42" i="14"/>
  <c r="A43" i="14" s="1"/>
  <c r="A44" i="14" s="1"/>
  <c r="A45" i="14" s="1"/>
  <c r="A46" i="14" s="1"/>
  <c r="A47" i="14" s="1"/>
  <c r="A48" i="14" s="1"/>
  <c r="A51" i="14" l="1"/>
  <c r="A52" i="14" s="1"/>
  <c r="A53" i="14" s="1"/>
  <c r="A54" i="14" s="1"/>
  <c r="A55" i="14" s="1"/>
  <c r="A56" i="14" s="1"/>
  <c r="A57" i="14" s="1"/>
  <c r="A33" i="14"/>
  <c r="A34" i="14" l="1"/>
  <c r="O4" i="14"/>
  <c r="O5" i="14"/>
  <c r="O6" i="14"/>
  <c r="O7" i="14"/>
  <c r="O8" i="14"/>
  <c r="O9" i="14"/>
  <c r="O10" i="14"/>
  <c r="O11" i="14"/>
  <c r="O12" i="14"/>
  <c r="O13" i="14"/>
  <c r="J4" i="14"/>
  <c r="J5" i="14" s="1"/>
  <c r="J6" i="14" s="1"/>
  <c r="J7" i="14" s="1"/>
  <c r="J8" i="14" s="1"/>
  <c r="J9" i="14" s="1"/>
  <c r="J10" i="14" s="1"/>
  <c r="A35" i="14" l="1"/>
  <c r="A36" i="14" l="1"/>
  <c r="A37" i="14" l="1"/>
  <c r="O14" i="14"/>
  <c r="O15" i="14"/>
  <c r="O16" i="14"/>
  <c r="O17" i="14"/>
  <c r="O18" i="14"/>
  <c r="O19" i="14"/>
  <c r="O20" i="14"/>
  <c r="O21" i="14"/>
  <c r="O22" i="14"/>
  <c r="O23" i="14"/>
  <c r="O24" i="14"/>
  <c r="O25" i="14"/>
  <c r="O26" i="14"/>
  <c r="O27" i="14"/>
  <c r="O28" i="14"/>
  <c r="O29" i="14"/>
  <c r="O30" i="14"/>
  <c r="O31" i="14"/>
  <c r="O32" i="14"/>
  <c r="O33" i="14"/>
  <c r="O34" i="14"/>
  <c r="O35" i="14"/>
  <c r="O36" i="14"/>
  <c r="O37" i="14"/>
  <c r="O38" i="14"/>
  <c r="O39" i="14"/>
  <c r="O40" i="14"/>
  <c r="O41" i="14"/>
  <c r="O42" i="14"/>
  <c r="O43" i="14"/>
  <c r="O44" i="14"/>
  <c r="O45" i="14"/>
  <c r="O46" i="14"/>
  <c r="O47" i="14"/>
  <c r="O48" i="14"/>
  <c r="O49" i="14"/>
  <c r="O50" i="14"/>
  <c r="O51" i="14"/>
  <c r="O52" i="14"/>
  <c r="O53" i="14"/>
  <c r="O54" i="14"/>
  <c r="O55" i="14"/>
  <c r="O56" i="14"/>
  <c r="O57" i="14"/>
  <c r="O58" i="14"/>
  <c r="O59" i="14"/>
  <c r="O60" i="14"/>
  <c r="O61" i="14"/>
  <c r="O62" i="14"/>
  <c r="O63" i="14"/>
  <c r="O64" i="14"/>
  <c r="O65" i="14"/>
  <c r="O66" i="14"/>
  <c r="O67" i="14"/>
  <c r="O68" i="14"/>
  <c r="O69" i="14"/>
  <c r="O70" i="14"/>
  <c r="O71" i="14"/>
  <c r="O72" i="14"/>
  <c r="O73" i="14"/>
  <c r="O74" i="14"/>
  <c r="O75" i="14"/>
  <c r="O76" i="14"/>
  <c r="O77" i="14"/>
  <c r="B7" i="15"/>
  <c r="A38" i="14" l="1"/>
  <c r="A39" i="14" l="1"/>
  <c r="B12" i="14"/>
  <c r="F17" i="19" l="1"/>
  <c r="F16" i="19"/>
  <c r="F15" i="19"/>
  <c r="I3" i="14" s="1"/>
  <c r="M16" i="17"/>
  <c r="M15" i="17"/>
  <c r="F14" i="19"/>
  <c r="F13" i="19"/>
  <c r="J11" i="17" s="1"/>
  <c r="F12" i="19"/>
  <c r="F11" i="19"/>
  <c r="F10" i="19"/>
  <c r="F9" i="19"/>
  <c r="A4" i="14"/>
  <c r="F8" i="19"/>
  <c r="B4" i="14" s="1"/>
  <c r="U15" i="17" l="1"/>
  <c r="Z2" i="17"/>
  <c r="Z3" i="17"/>
  <c r="A17" i="17"/>
  <c r="A26" i="14"/>
  <c r="A2" i="17"/>
  <c r="B1" i="8"/>
  <c r="Y3" i="17"/>
  <c r="Y4" i="17"/>
  <c r="Y6" i="17"/>
  <c r="Y5" i="17"/>
  <c r="H3" i="14"/>
  <c r="B4" i="10"/>
  <c r="A8" i="14"/>
  <c r="A2" i="14"/>
  <c r="A17" i="14"/>
  <c r="AA4" i="17"/>
  <c r="U11" i="17"/>
  <c r="J11" i="14" l="1"/>
  <c r="J12" i="14" s="1"/>
  <c r="J13" i="14" s="1"/>
  <c r="J14" i="14" s="1"/>
  <c r="J15" i="14" s="1"/>
  <c r="J16" i="14" s="1"/>
  <c r="J17" i="14" s="1"/>
  <c r="J18" i="14" s="1"/>
  <c r="J19" i="14" s="1"/>
  <c r="J20" i="14" s="1"/>
  <c r="J21" i="14" s="1"/>
  <c r="J22" i="14" s="1"/>
  <c r="J23" i="14" s="1"/>
  <c r="J24" i="14" s="1"/>
  <c r="J25" i="14" s="1"/>
  <c r="J26" i="14" s="1"/>
  <c r="J27" i="14" s="1"/>
  <c r="J28" i="14" s="1"/>
  <c r="J29" i="14" s="1"/>
  <c r="J30" i="14" s="1"/>
  <c r="J31" i="14" s="1"/>
  <c r="J32" i="14" s="1"/>
  <c r="J33" i="14" s="1"/>
  <c r="J34" i="14" s="1"/>
  <c r="J35" i="14" s="1"/>
  <c r="J36" i="14" s="1"/>
  <c r="J37" i="14" s="1"/>
  <c r="J38" i="14" s="1"/>
  <c r="J39" i="14" s="1"/>
  <c r="J40" i="14" s="1"/>
  <c r="J41" i="14" s="1"/>
  <c r="J42" i="14" s="1"/>
  <c r="J43" i="14" s="1"/>
  <c r="J44" i="14" s="1"/>
  <c r="J45" i="14" s="1"/>
  <c r="J46" i="14" s="1"/>
  <c r="J47" i="14" s="1"/>
  <c r="J48" i="14" s="1"/>
  <c r="J49" i="14" s="1"/>
  <c r="B2" i="10" l="1"/>
  <c r="B2" i="18" s="1"/>
  <c r="G14" i="17" l="1"/>
  <c r="B24" i="14" l="1"/>
  <c r="C65" i="8"/>
  <c r="C66" i="8" s="1"/>
  <c r="B13" i="14"/>
  <c r="B7" i="14"/>
  <c r="A3" i="17"/>
  <c r="B8" i="14" l="1"/>
  <c r="B26" i="14"/>
  <c r="C67" i="8"/>
  <c r="B14" i="14"/>
  <c r="E5" i="14" l="1"/>
  <c r="E9" i="14"/>
  <c r="H9" i="14" s="1"/>
  <c r="E13" i="14"/>
  <c r="H13" i="14" s="1"/>
  <c r="E17" i="14"/>
  <c r="H17" i="14" s="1"/>
  <c r="E21" i="14"/>
  <c r="H21" i="14" s="1"/>
  <c r="E25" i="14"/>
  <c r="H25" i="14" s="1"/>
  <c r="E29" i="14"/>
  <c r="H29" i="14" s="1"/>
  <c r="E33" i="14"/>
  <c r="H33" i="14" s="1"/>
  <c r="E37" i="14"/>
  <c r="H37" i="14" s="1"/>
  <c r="E41" i="14"/>
  <c r="H41" i="14" s="1"/>
  <c r="E45" i="14"/>
  <c r="H45" i="14" s="1"/>
  <c r="E49" i="14"/>
  <c r="H49" i="14" s="1"/>
  <c r="E53" i="14"/>
  <c r="H53" i="14" s="1"/>
  <c r="E57" i="14"/>
  <c r="H57" i="14" s="1"/>
  <c r="E61" i="14"/>
  <c r="H61" i="14" s="1"/>
  <c r="E65" i="14"/>
  <c r="H65" i="14" s="1"/>
  <c r="E69" i="14"/>
  <c r="H69" i="14" s="1"/>
  <c r="E73" i="14"/>
  <c r="H73" i="14" s="1"/>
  <c r="E77" i="14"/>
  <c r="H77" i="14" s="1"/>
  <c r="E81" i="14"/>
  <c r="H81" i="14" s="1"/>
  <c r="E85" i="14"/>
  <c r="H85" i="14" s="1"/>
  <c r="E89" i="14"/>
  <c r="H89" i="14" s="1"/>
  <c r="E93" i="14"/>
  <c r="H93" i="14" s="1"/>
  <c r="E97" i="14"/>
  <c r="H97" i="14" s="1"/>
  <c r="E101" i="14"/>
  <c r="H101" i="14" s="1"/>
  <c r="E105" i="14"/>
  <c r="H105" i="14" s="1"/>
  <c r="E109" i="14"/>
  <c r="H109" i="14" s="1"/>
  <c r="E113" i="14"/>
  <c r="H113" i="14" s="1"/>
  <c r="E117" i="14"/>
  <c r="E121" i="14"/>
  <c r="E125" i="14"/>
  <c r="E129" i="14"/>
  <c r="E133" i="14"/>
  <c r="E137" i="14"/>
  <c r="E141" i="14"/>
  <c r="E145" i="14"/>
  <c r="E149" i="14"/>
  <c r="E153" i="14"/>
  <c r="E157" i="14"/>
  <c r="E161" i="14"/>
  <c r="E165" i="14"/>
  <c r="E169" i="14"/>
  <c r="E173" i="14"/>
  <c r="E177" i="14"/>
  <c r="E181" i="14"/>
  <c r="E185" i="14"/>
  <c r="E189" i="14"/>
  <c r="E193" i="14"/>
  <c r="E197" i="14"/>
  <c r="E201" i="14"/>
  <c r="E205" i="14"/>
  <c r="E209" i="14"/>
  <c r="E213" i="14"/>
  <c r="E217" i="14"/>
  <c r="E221" i="14"/>
  <c r="E225" i="14"/>
  <c r="E229" i="14"/>
  <c r="E233" i="14"/>
  <c r="E237" i="14"/>
  <c r="E241" i="14"/>
  <c r="E245" i="14"/>
  <c r="E249" i="14"/>
  <c r="E253" i="14"/>
  <c r="E257" i="14"/>
  <c r="E261" i="14"/>
  <c r="E265" i="14"/>
  <c r="E269" i="14"/>
  <c r="E273" i="14"/>
  <c r="E277" i="14"/>
  <c r="E281" i="14"/>
  <c r="E285" i="14"/>
  <c r="E289" i="14"/>
  <c r="E92" i="14"/>
  <c r="H92" i="14" s="1"/>
  <c r="E116" i="14"/>
  <c r="E6" i="14"/>
  <c r="H6" i="14" s="1"/>
  <c r="E10" i="14"/>
  <c r="H10" i="14" s="1"/>
  <c r="E14" i="14"/>
  <c r="H14" i="14" s="1"/>
  <c r="E18" i="14"/>
  <c r="H18" i="14" s="1"/>
  <c r="E22" i="14"/>
  <c r="H22" i="14" s="1"/>
  <c r="E26" i="14"/>
  <c r="H26" i="14" s="1"/>
  <c r="E30" i="14"/>
  <c r="H30" i="14" s="1"/>
  <c r="E34" i="14"/>
  <c r="H34" i="14" s="1"/>
  <c r="E38" i="14"/>
  <c r="H38" i="14" s="1"/>
  <c r="E42" i="14"/>
  <c r="H42" i="14" s="1"/>
  <c r="E46" i="14"/>
  <c r="H46" i="14" s="1"/>
  <c r="E50" i="14"/>
  <c r="H50" i="14" s="1"/>
  <c r="E54" i="14"/>
  <c r="H54" i="14" s="1"/>
  <c r="E58" i="14"/>
  <c r="H58" i="14" s="1"/>
  <c r="E62" i="14"/>
  <c r="H62" i="14" s="1"/>
  <c r="E66" i="14"/>
  <c r="H66" i="14" s="1"/>
  <c r="E70" i="14"/>
  <c r="H70" i="14" s="1"/>
  <c r="E74" i="14"/>
  <c r="H74" i="14" s="1"/>
  <c r="E78" i="14"/>
  <c r="H78" i="14" s="1"/>
  <c r="E82" i="14"/>
  <c r="H82" i="14" s="1"/>
  <c r="E86" i="14"/>
  <c r="H86" i="14" s="1"/>
  <c r="E90" i="14"/>
  <c r="H90" i="14" s="1"/>
  <c r="E94" i="14"/>
  <c r="H94" i="14" s="1"/>
  <c r="E98" i="14"/>
  <c r="H98" i="14" s="1"/>
  <c r="E102" i="14"/>
  <c r="H102" i="14" s="1"/>
  <c r="E106" i="14"/>
  <c r="H106" i="14" s="1"/>
  <c r="E110" i="14"/>
  <c r="H110" i="14" s="1"/>
  <c r="E114" i="14"/>
  <c r="E118" i="14"/>
  <c r="E122" i="14"/>
  <c r="E126" i="14"/>
  <c r="E130" i="14"/>
  <c r="E134" i="14"/>
  <c r="E138" i="14"/>
  <c r="E142" i="14"/>
  <c r="E146" i="14"/>
  <c r="E150" i="14"/>
  <c r="E154" i="14"/>
  <c r="E158" i="14"/>
  <c r="E162" i="14"/>
  <c r="E166" i="14"/>
  <c r="E170" i="14"/>
  <c r="E174" i="14"/>
  <c r="E178" i="14"/>
  <c r="E182" i="14"/>
  <c r="E186" i="14"/>
  <c r="E190" i="14"/>
  <c r="E194" i="14"/>
  <c r="E198" i="14"/>
  <c r="E202" i="14"/>
  <c r="E206" i="14"/>
  <c r="E210" i="14"/>
  <c r="E214" i="14"/>
  <c r="E218" i="14"/>
  <c r="E222" i="14"/>
  <c r="E226" i="14"/>
  <c r="E230" i="14"/>
  <c r="E234" i="14"/>
  <c r="E238" i="14"/>
  <c r="E242" i="14"/>
  <c r="E246" i="14"/>
  <c r="E250" i="14"/>
  <c r="E254" i="14"/>
  <c r="E258" i="14"/>
  <c r="E262" i="14"/>
  <c r="E266" i="14"/>
  <c r="E270" i="14"/>
  <c r="E274" i="14"/>
  <c r="E278" i="14"/>
  <c r="E282" i="14"/>
  <c r="E286" i="14"/>
  <c r="E290" i="14"/>
  <c r="E8" i="14"/>
  <c r="H8" i="14" s="1"/>
  <c r="E20" i="14"/>
  <c r="H20" i="14" s="1"/>
  <c r="E28" i="14"/>
  <c r="H28" i="14" s="1"/>
  <c r="E36" i="14"/>
  <c r="H36" i="14" s="1"/>
  <c r="E44" i="14"/>
  <c r="H44" i="14" s="1"/>
  <c r="E52" i="14"/>
  <c r="H52" i="14" s="1"/>
  <c r="E60" i="14"/>
  <c r="H60" i="14" s="1"/>
  <c r="E68" i="14"/>
  <c r="H68" i="14" s="1"/>
  <c r="E76" i="14"/>
  <c r="H76" i="14" s="1"/>
  <c r="E84" i="14"/>
  <c r="H84" i="14" s="1"/>
  <c r="E96" i="14"/>
  <c r="H96" i="14" s="1"/>
  <c r="E104" i="14"/>
  <c r="H104" i="14" s="1"/>
  <c r="E112" i="14"/>
  <c r="H112" i="14" s="1"/>
  <c r="E7" i="14"/>
  <c r="H7" i="14" s="1"/>
  <c r="E11" i="14"/>
  <c r="H11" i="14" s="1"/>
  <c r="E15" i="14"/>
  <c r="H15" i="14" s="1"/>
  <c r="E19" i="14"/>
  <c r="H19" i="14" s="1"/>
  <c r="E23" i="14"/>
  <c r="H23" i="14" s="1"/>
  <c r="E27" i="14"/>
  <c r="H27" i="14" s="1"/>
  <c r="E31" i="14"/>
  <c r="H31" i="14" s="1"/>
  <c r="E35" i="14"/>
  <c r="H35" i="14" s="1"/>
  <c r="E39" i="14"/>
  <c r="H39" i="14" s="1"/>
  <c r="E43" i="14"/>
  <c r="H43" i="14" s="1"/>
  <c r="E47" i="14"/>
  <c r="H47" i="14" s="1"/>
  <c r="E51" i="14"/>
  <c r="H51" i="14" s="1"/>
  <c r="E55" i="14"/>
  <c r="H55" i="14" s="1"/>
  <c r="E59" i="14"/>
  <c r="H59" i="14" s="1"/>
  <c r="E63" i="14"/>
  <c r="H63" i="14" s="1"/>
  <c r="E67" i="14"/>
  <c r="H67" i="14" s="1"/>
  <c r="E71" i="14"/>
  <c r="H71" i="14" s="1"/>
  <c r="E75" i="14"/>
  <c r="H75" i="14" s="1"/>
  <c r="E79" i="14"/>
  <c r="H79" i="14" s="1"/>
  <c r="E83" i="14"/>
  <c r="H83" i="14" s="1"/>
  <c r="E87" i="14"/>
  <c r="H87" i="14" s="1"/>
  <c r="E91" i="14"/>
  <c r="H91" i="14" s="1"/>
  <c r="E95" i="14"/>
  <c r="H95" i="14" s="1"/>
  <c r="E99" i="14"/>
  <c r="H99" i="14" s="1"/>
  <c r="E103" i="14"/>
  <c r="H103" i="14" s="1"/>
  <c r="E107" i="14"/>
  <c r="H107" i="14" s="1"/>
  <c r="E111" i="14"/>
  <c r="H111" i="14" s="1"/>
  <c r="E115" i="14"/>
  <c r="E119" i="14"/>
  <c r="E123" i="14"/>
  <c r="E127" i="14"/>
  <c r="E131" i="14"/>
  <c r="E135" i="14"/>
  <c r="E139" i="14"/>
  <c r="E143" i="14"/>
  <c r="E147" i="14"/>
  <c r="E151" i="14"/>
  <c r="E155" i="14"/>
  <c r="E159" i="14"/>
  <c r="E163" i="14"/>
  <c r="E167" i="14"/>
  <c r="E171" i="14"/>
  <c r="E175" i="14"/>
  <c r="E179" i="14"/>
  <c r="E183" i="14"/>
  <c r="E187" i="14"/>
  <c r="E191" i="14"/>
  <c r="E195" i="14"/>
  <c r="E199" i="14"/>
  <c r="E203" i="14"/>
  <c r="E207" i="14"/>
  <c r="E211" i="14"/>
  <c r="E215" i="14"/>
  <c r="E219" i="14"/>
  <c r="E223" i="14"/>
  <c r="E227" i="14"/>
  <c r="E231" i="14"/>
  <c r="E235" i="14"/>
  <c r="E239" i="14"/>
  <c r="E243" i="14"/>
  <c r="E247" i="14"/>
  <c r="E251" i="14"/>
  <c r="E255" i="14"/>
  <c r="E259" i="14"/>
  <c r="E263" i="14"/>
  <c r="E267" i="14"/>
  <c r="E271" i="14"/>
  <c r="E275" i="14"/>
  <c r="E279" i="14"/>
  <c r="E283" i="14"/>
  <c r="E287" i="14"/>
  <c r="E4" i="14"/>
  <c r="E12" i="14"/>
  <c r="H12" i="14" s="1"/>
  <c r="E16" i="14"/>
  <c r="H16" i="14" s="1"/>
  <c r="E24" i="14"/>
  <c r="H24" i="14" s="1"/>
  <c r="E32" i="14"/>
  <c r="H32" i="14" s="1"/>
  <c r="E40" i="14"/>
  <c r="H40" i="14" s="1"/>
  <c r="E48" i="14"/>
  <c r="H48" i="14" s="1"/>
  <c r="E56" i="14"/>
  <c r="H56" i="14" s="1"/>
  <c r="E64" i="14"/>
  <c r="H64" i="14" s="1"/>
  <c r="E72" i="14"/>
  <c r="H72" i="14" s="1"/>
  <c r="E80" i="14"/>
  <c r="H80" i="14" s="1"/>
  <c r="E88" i="14"/>
  <c r="H88" i="14" s="1"/>
  <c r="E100" i="14"/>
  <c r="H100" i="14" s="1"/>
  <c r="E108" i="14"/>
  <c r="H108" i="14" s="1"/>
  <c r="E120" i="14"/>
  <c r="E136" i="14"/>
  <c r="E152" i="14"/>
  <c r="E168" i="14"/>
  <c r="E184" i="14"/>
  <c r="E200" i="14"/>
  <c r="E216" i="14"/>
  <c r="E232" i="14"/>
  <c r="E248" i="14"/>
  <c r="E264" i="14"/>
  <c r="E280" i="14"/>
  <c r="E148" i="14"/>
  <c r="E212" i="14"/>
  <c r="E260" i="14"/>
  <c r="E124" i="14"/>
  <c r="E140" i="14"/>
  <c r="E156" i="14"/>
  <c r="E172" i="14"/>
  <c r="E188" i="14"/>
  <c r="E204" i="14"/>
  <c r="E220" i="14"/>
  <c r="E236" i="14"/>
  <c r="E252" i="14"/>
  <c r="E268" i="14"/>
  <c r="E284" i="14"/>
  <c r="E180" i="14"/>
  <c r="E228" i="14"/>
  <c r="E276" i="14"/>
  <c r="E128" i="14"/>
  <c r="E144" i="14"/>
  <c r="E160" i="14"/>
  <c r="E176" i="14"/>
  <c r="E192" i="14"/>
  <c r="E208" i="14"/>
  <c r="E224" i="14"/>
  <c r="E240" i="14"/>
  <c r="E256" i="14"/>
  <c r="E272" i="14"/>
  <c r="E288" i="14"/>
  <c r="E132" i="14"/>
  <c r="E164" i="14"/>
  <c r="E196" i="14"/>
  <c r="E244" i="14"/>
  <c r="B15" i="14"/>
  <c r="B16" i="14" s="1"/>
  <c r="E36" i="9"/>
  <c r="L4" i="14" l="1"/>
  <c r="F36" i="9"/>
  <c r="M6" i="14" l="1"/>
  <c r="E39" i="9"/>
  <c r="L5" i="14" l="1"/>
  <c r="M5" i="14"/>
  <c r="M7" i="14"/>
  <c r="L6" i="14"/>
  <c r="B3" i="8"/>
  <c r="M8" i="14" l="1"/>
  <c r="L7" i="14"/>
  <c r="B5" i="14"/>
  <c r="B6" i="14" s="1"/>
  <c r="L8" i="14" l="1"/>
  <c r="L9" i="14" l="1"/>
  <c r="M9" i="14"/>
  <c r="M10" i="14"/>
  <c r="L10" i="14"/>
  <c r="M11" i="14" l="1"/>
  <c r="L11" i="14"/>
  <c r="M12" i="14" l="1"/>
  <c r="L12" i="14"/>
  <c r="M13" i="14" l="1"/>
  <c r="L13" i="14"/>
  <c r="M14" i="14" l="1"/>
  <c r="L14" i="14"/>
  <c r="M15" i="14" l="1"/>
  <c r="L15" i="14"/>
  <c r="M16" i="14" l="1"/>
  <c r="L16" i="14"/>
  <c r="M17" i="14" l="1"/>
  <c r="L17" i="14"/>
  <c r="M18" i="14" l="1"/>
  <c r="L18" i="14"/>
  <c r="M19" i="14" l="1"/>
  <c r="L19" i="14"/>
  <c r="M20" i="14" l="1"/>
  <c r="L20" i="14"/>
  <c r="M21" i="14" l="1"/>
  <c r="L21" i="14"/>
  <c r="M22" i="14" l="1"/>
  <c r="L22" i="14"/>
  <c r="L24" i="14" l="1"/>
  <c r="M23" i="14"/>
  <c r="L23" i="14"/>
  <c r="L25" i="14" l="1"/>
  <c r="M24" i="14"/>
  <c r="L26" i="14" l="1"/>
  <c r="M25" i="14"/>
  <c r="L27" i="14" l="1"/>
  <c r="M26" i="14"/>
  <c r="L28" i="14" l="1"/>
  <c r="M27" i="14"/>
  <c r="L29" i="14" l="1"/>
  <c r="M28" i="14"/>
  <c r="L30" i="14" l="1"/>
  <c r="M29" i="14"/>
  <c r="M30" i="14" l="1"/>
  <c r="L32" i="14" l="1"/>
  <c r="M31" i="14"/>
  <c r="L31" i="14"/>
  <c r="L33" i="14" l="1"/>
  <c r="M32" i="14"/>
  <c r="L34" i="14" l="1"/>
  <c r="M33" i="14"/>
  <c r="L35" i="14" l="1"/>
  <c r="M34" i="14"/>
  <c r="M35" i="14" l="1"/>
  <c r="L37" i="14" l="1"/>
  <c r="M36" i="14"/>
  <c r="L36" i="14"/>
  <c r="L38" i="14" l="1"/>
  <c r="M37" i="14"/>
  <c r="L39" i="14" l="1"/>
  <c r="M38" i="14"/>
  <c r="L40" i="14" l="1"/>
  <c r="M39" i="14"/>
  <c r="M40" i="14" l="1"/>
  <c r="L42" i="14" l="1"/>
  <c r="M41" i="14"/>
  <c r="L41" i="14"/>
  <c r="L43" i="14" l="1"/>
  <c r="M42" i="14"/>
  <c r="L44" i="14" l="1"/>
  <c r="M43" i="14"/>
  <c r="L45" i="14" l="1"/>
  <c r="M44" i="14"/>
  <c r="M45" i="14" l="1"/>
  <c r="L46" i="14"/>
  <c r="L47" i="14" l="1"/>
  <c r="M46" i="14"/>
  <c r="L48" i="14" l="1"/>
  <c r="M47" i="14"/>
  <c r="M49" i="14" l="1"/>
  <c r="M48" i="14"/>
  <c r="L49" i="14" l="1"/>
  <c r="F30" i="9"/>
  <c r="G27" i="9"/>
  <c r="F27" i="9"/>
  <c r="G30" i="9"/>
  <c r="E27" i="9"/>
  <c r="E30" i="9"/>
  <c r="C64" i="8" l="1"/>
  <c r="C63" i="8" l="1"/>
  <c r="C62" i="8" l="1"/>
  <c r="AB66" i="8" l="1"/>
  <c r="C61" i="8"/>
  <c r="AB67" i="8" l="1"/>
  <c r="C68" i="8"/>
  <c r="C60" i="8"/>
  <c r="AB68" i="8" l="1"/>
  <c r="C69" i="8"/>
  <c r="C59" i="8"/>
  <c r="AB69" i="8" l="1"/>
  <c r="C70" i="8"/>
  <c r="C58" i="8"/>
  <c r="AB70" i="8" l="1"/>
  <c r="C71" i="8"/>
  <c r="C57" i="8"/>
  <c r="AB71" i="8" l="1"/>
  <c r="C72" i="8"/>
  <c r="C56" i="8"/>
  <c r="AB72" i="8" l="1"/>
  <c r="C73" i="8"/>
  <c r="C55" i="8"/>
  <c r="AB73" i="8" l="1"/>
  <c r="C74" i="8"/>
  <c r="C54" i="8"/>
  <c r="AB74" i="8" l="1"/>
  <c r="C75" i="8"/>
  <c r="C53" i="8"/>
  <c r="C52" i="8" l="1"/>
  <c r="AB75" i="8"/>
  <c r="C76" i="8"/>
  <c r="C51" i="8" l="1"/>
  <c r="AB76" i="8"/>
  <c r="C77" i="8"/>
  <c r="C50" i="8" l="1"/>
  <c r="AB77" i="8"/>
  <c r="C78" i="8"/>
  <c r="C49" i="8" l="1"/>
  <c r="AB78" i="8"/>
  <c r="C79" i="8"/>
  <c r="C48" i="8" l="1"/>
  <c r="AB79" i="8"/>
  <c r="C80" i="8"/>
  <c r="C47" i="8" l="1"/>
  <c r="AB80" i="8"/>
  <c r="C81" i="8"/>
  <c r="C46" i="8" l="1"/>
  <c r="AB81" i="8"/>
  <c r="C82" i="8"/>
  <c r="C45" i="8" l="1"/>
  <c r="AB82" i="8"/>
  <c r="C83" i="8"/>
  <c r="C44" i="8" l="1"/>
  <c r="AB83" i="8"/>
  <c r="C84" i="8"/>
  <c r="C43" i="8" l="1"/>
  <c r="AB84" i="8"/>
  <c r="C85" i="8"/>
  <c r="C42" i="8" l="1"/>
  <c r="AB85" i="8"/>
  <c r="C86" i="8"/>
  <c r="C41" i="8" l="1"/>
  <c r="AB86" i="8"/>
  <c r="C87" i="8"/>
  <c r="C40" i="8" l="1"/>
  <c r="AB87" i="8"/>
  <c r="C88" i="8"/>
  <c r="C39" i="8" l="1"/>
  <c r="AB88" i="8"/>
  <c r="C89" i="8"/>
  <c r="C38" i="8" l="1"/>
  <c r="AB89" i="8"/>
  <c r="C90" i="8"/>
  <c r="C37" i="8" l="1"/>
  <c r="AB90" i="8"/>
  <c r="C91" i="8"/>
  <c r="C36" i="8" l="1"/>
  <c r="AB91" i="8"/>
  <c r="C92" i="8"/>
  <c r="C35" i="8" l="1"/>
  <c r="AB92" i="8"/>
  <c r="C93" i="8"/>
  <c r="C34" i="8" l="1"/>
  <c r="AB93" i="8"/>
  <c r="C94" i="8"/>
  <c r="C33" i="8" l="1"/>
  <c r="AB94" i="8"/>
  <c r="C95" i="8"/>
  <c r="C32" i="8" l="1"/>
  <c r="AB95" i="8"/>
  <c r="C96" i="8"/>
  <c r="C31" i="8" l="1"/>
  <c r="AB96" i="8"/>
  <c r="C97" i="8"/>
  <c r="C30" i="8" l="1"/>
  <c r="AB97" i="8"/>
  <c r="C98" i="8"/>
  <c r="C29" i="8" l="1"/>
  <c r="AB98" i="8"/>
  <c r="C99" i="8"/>
  <c r="C28" i="8" l="1"/>
  <c r="AB99" i="8"/>
  <c r="C100" i="8"/>
  <c r="C27" i="8" l="1"/>
  <c r="AB100" i="8"/>
  <c r="C101" i="8"/>
  <c r="C26" i="8" l="1"/>
  <c r="AB101" i="8"/>
  <c r="C102" i="8"/>
  <c r="C25" i="8" l="1"/>
  <c r="AB102" i="8"/>
  <c r="C103" i="8"/>
  <c r="C24" i="8" l="1"/>
  <c r="AB103" i="8"/>
  <c r="C104" i="8"/>
  <c r="C23" i="8" l="1"/>
  <c r="AB104" i="8"/>
  <c r="C105" i="8"/>
  <c r="C22" i="8" l="1"/>
  <c r="AB105" i="8"/>
  <c r="C106" i="8"/>
  <c r="C21" i="8" l="1"/>
  <c r="AB106" i="8"/>
  <c r="C107" i="8"/>
  <c r="C20" i="8" l="1"/>
  <c r="AB107" i="8"/>
  <c r="C108" i="8"/>
  <c r="C19" i="8" l="1"/>
  <c r="AB108" i="8"/>
  <c r="C109" i="8"/>
  <c r="C18" i="8" l="1"/>
  <c r="AB109" i="8"/>
  <c r="C110" i="8"/>
  <c r="C17" i="8" l="1"/>
  <c r="AB110" i="8"/>
  <c r="C111" i="8"/>
  <c r="C16" i="8" l="1"/>
  <c r="AB111" i="8"/>
  <c r="C112" i="8"/>
  <c r="C15" i="8" l="1"/>
  <c r="AB112" i="8"/>
  <c r="C113" i="8"/>
  <c r="C14" i="8" l="1"/>
  <c r="AB113" i="8"/>
  <c r="C114" i="8"/>
  <c r="C13" i="8" l="1"/>
  <c r="AB114" i="8"/>
  <c r="C115" i="8"/>
  <c r="C12" i="8" l="1"/>
  <c r="AB115" i="8"/>
  <c r="C116" i="8"/>
  <c r="C11" i="8" l="1"/>
  <c r="AB116" i="8"/>
  <c r="C117" i="8"/>
  <c r="C10" i="8" l="1"/>
  <c r="AB117" i="8"/>
  <c r="C118" i="8"/>
  <c r="AB118" i="8" l="1"/>
  <c r="C119" i="8"/>
  <c r="AB119" i="8" l="1"/>
  <c r="C120" i="8"/>
  <c r="AB120" i="8" l="1"/>
  <c r="C121" i="8"/>
  <c r="AB121" i="8" l="1"/>
  <c r="C122" i="8"/>
  <c r="AB122" i="8" l="1"/>
  <c r="C123" i="8"/>
  <c r="AB123" i="8" l="1"/>
  <c r="C124" i="8"/>
  <c r="AB124" i="8" l="1"/>
  <c r="C125" i="8"/>
  <c r="AB125" i="8" l="1"/>
  <c r="C126" i="8"/>
  <c r="AB126" i="8" l="1"/>
  <c r="C127" i="8"/>
  <c r="AB127" i="8" l="1"/>
  <c r="C128" i="8"/>
  <c r="AB128" i="8" l="1"/>
  <c r="C129" i="8"/>
  <c r="AB129" i="8" l="1"/>
  <c r="C130" i="8"/>
  <c r="AB130" i="8" l="1"/>
  <c r="C131" i="8"/>
  <c r="AB131" i="8" l="1"/>
  <c r="C132" i="8"/>
  <c r="AB132" i="8" l="1"/>
  <c r="C133" i="8"/>
  <c r="AB133" i="8" l="1"/>
  <c r="C134" i="8"/>
  <c r="AB134" i="8" l="1"/>
  <c r="C135" i="8"/>
  <c r="C136" i="8" l="1"/>
  <c r="AB135" i="8"/>
  <c r="AB136" i="8" l="1"/>
  <c r="C137" i="8"/>
  <c r="C138" i="8" l="1"/>
  <c r="C139" i="8" s="1"/>
  <c r="AB137" i="8"/>
  <c r="AB138" i="8" l="1"/>
  <c r="AB139" i="8"/>
  <c r="C140" i="8"/>
  <c r="C141" i="8" l="1"/>
  <c r="AB140" i="8"/>
  <c r="C142" i="8" l="1"/>
  <c r="AB141" i="8"/>
  <c r="C143" i="8" l="1"/>
  <c r="AB142" i="8"/>
  <c r="AB143" i="8" l="1"/>
  <c r="C144" i="8"/>
  <c r="AB144" i="8" l="1"/>
  <c r="C145" i="8"/>
  <c r="AB145" i="8" l="1"/>
  <c r="C146" i="8"/>
  <c r="AB146" i="8" l="1"/>
  <c r="C147" i="8"/>
  <c r="C148" i="8" l="1"/>
  <c r="AB147" i="8"/>
  <c r="AB148" i="8" l="1"/>
  <c r="C149" i="8"/>
  <c r="C150" i="8" l="1"/>
  <c r="AB149" i="8"/>
  <c r="AB150" i="8" l="1"/>
  <c r="C151" i="8"/>
  <c r="AB151" i="8" l="1"/>
  <c r="C152" i="8"/>
  <c r="AB152" i="8" l="1"/>
  <c r="C153" i="8"/>
  <c r="AB153" i="8" l="1"/>
  <c r="C154" i="8"/>
  <c r="AB154" i="8" l="1"/>
  <c r="C155" i="8"/>
  <c r="C156" i="8" l="1"/>
  <c r="AB155" i="8"/>
  <c r="AB156" i="8" l="1"/>
  <c r="C157" i="8"/>
  <c r="AB157" i="8" l="1"/>
  <c r="C158" i="8"/>
  <c r="C159" i="8" l="1"/>
  <c r="AB158" i="8"/>
  <c r="AB159" i="8" l="1"/>
  <c r="C160" i="8"/>
  <c r="AB160" i="8" l="1"/>
  <c r="C161" i="8"/>
  <c r="C162" i="8" l="1"/>
  <c r="AB161" i="8"/>
  <c r="AB162" i="8" l="1"/>
  <c r="C163" i="8"/>
  <c r="C164" i="8" l="1"/>
  <c r="AB163" i="8"/>
  <c r="C165" i="8" l="1"/>
  <c r="AB164" i="8"/>
  <c r="C166" i="8" l="1"/>
  <c r="AB165" i="8"/>
  <c r="C167" i="8" l="1"/>
  <c r="AB166" i="8"/>
  <c r="AB167" i="8" l="1"/>
  <c r="C168" i="8"/>
  <c r="AB168" i="8" l="1"/>
  <c r="C169" i="8"/>
  <c r="AB169" i="8" l="1"/>
  <c r="C170" i="8"/>
  <c r="AB170" i="8" l="1"/>
  <c r="O78" i="14" l="1"/>
  <c r="O79" i="14" l="1"/>
  <c r="O80" i="14" l="1"/>
  <c r="O81" i="14" l="1"/>
  <c r="O82" i="14" l="1"/>
  <c r="O83" i="14" l="1"/>
  <c r="O84" i="14" l="1"/>
  <c r="O85" i="14" l="1"/>
  <c r="O86" i="14" l="1"/>
  <c r="O87" i="14" l="1"/>
  <c r="O88" i="14" l="1"/>
  <c r="O89" i="14" l="1"/>
  <c r="O90" i="14" l="1"/>
  <c r="O91" i="14" l="1"/>
  <c r="O92" i="14" l="1"/>
  <c r="O94" i="14" l="1"/>
  <c r="O93" i="14" l="1"/>
  <c r="O95" i="14" l="1"/>
  <c r="O96" i="14" l="1"/>
  <c r="O97" i="14" l="1"/>
  <c r="O98" i="14" l="1"/>
  <c r="O99" i="14" l="1"/>
  <c r="O100" i="14" l="1"/>
  <c r="O101" i="14" l="1"/>
  <c r="O102" i="14" l="1"/>
  <c r="O103" i="14" l="1"/>
  <c r="O104" i="14" l="1"/>
  <c r="O105" i="14" l="1"/>
  <c r="O106" i="14" l="1"/>
  <c r="O107" i="14" l="1"/>
  <c r="J50" i="14" l="1"/>
  <c r="J51" i="14" s="1"/>
  <c r="J52" i="14" s="1"/>
  <c r="J53" i="14" s="1"/>
  <c r="J54" i="14" s="1"/>
  <c r="J55" i="14" s="1"/>
  <c r="J56" i="14" s="1"/>
  <c r="J57" i="14" s="1"/>
  <c r="J58" i="14" s="1"/>
  <c r="J59" i="14" s="1"/>
  <c r="J60" i="14" s="1"/>
  <c r="J61" i="14" s="1"/>
  <c r="J62" i="14" s="1"/>
  <c r="J63" i="14" s="1"/>
  <c r="J64" i="14" s="1"/>
  <c r="J65" i="14" s="1"/>
  <c r="J66" i="14" s="1"/>
  <c r="J67" i="14" s="1"/>
  <c r="J68" i="14" s="1"/>
  <c r="J69" i="14" s="1"/>
  <c r="J70" i="14" s="1"/>
  <c r="J71" i="14" s="1"/>
  <c r="J72" i="14" s="1"/>
  <c r="J73" i="14" s="1"/>
  <c r="J74" i="14" s="1"/>
  <c r="J75" i="14" s="1"/>
  <c r="J76" i="14" s="1"/>
  <c r="J77" i="14" s="1"/>
  <c r="J78" i="14" s="1"/>
  <c r="J79" i="14" s="1"/>
  <c r="J80" i="14" s="1"/>
  <c r="J81" i="14" s="1"/>
  <c r="J82" i="14" s="1"/>
  <c r="J83" i="14" s="1"/>
  <c r="J84" i="14" s="1"/>
  <c r="J85" i="14" s="1"/>
  <c r="J86" i="14" s="1"/>
  <c r="J87" i="14" s="1"/>
  <c r="J88" i="14" s="1"/>
  <c r="J89" i="14" s="1"/>
  <c r="J90" i="14" s="1"/>
  <c r="J91" i="14" s="1"/>
  <c r="J92" i="14" s="1"/>
  <c r="J93" i="14" s="1"/>
  <c r="J94" i="14" s="1"/>
  <c r="J95" i="14" s="1"/>
  <c r="J96" i="14" s="1"/>
  <c r="J97" i="14" s="1"/>
  <c r="J98" i="14" s="1"/>
  <c r="J99" i="14" s="1"/>
  <c r="J100" i="14" s="1"/>
  <c r="J101" i="14" s="1"/>
  <c r="J102" i="14" s="1"/>
  <c r="J103" i="14" s="1"/>
  <c r="J104" i="14" s="1"/>
  <c r="J105" i="14" s="1"/>
  <c r="J106" i="14" l="1"/>
  <c r="J107" i="14" s="1"/>
  <c r="J108" i="14" s="1"/>
  <c r="J109" i="14" s="1"/>
  <c r="M50" i="14"/>
  <c r="M51" i="14" l="1"/>
  <c r="L50" i="14"/>
  <c r="M52" i="14" l="1"/>
  <c r="L51" i="14"/>
  <c r="M53" i="14" l="1"/>
  <c r="L52" i="14"/>
  <c r="M54" i="14" l="1"/>
  <c r="L53" i="14"/>
  <c r="L54" i="14" l="1"/>
  <c r="M55" i="14"/>
  <c r="M56" i="14" l="1"/>
  <c r="L55" i="14"/>
  <c r="M57" i="14" l="1"/>
  <c r="L56" i="14"/>
  <c r="M58" i="14" l="1"/>
  <c r="L57" i="14"/>
  <c r="M59" i="14" l="1"/>
  <c r="L58" i="14"/>
  <c r="M60" i="14" l="1"/>
  <c r="L59" i="14"/>
  <c r="M61" i="14" l="1"/>
  <c r="L60" i="14"/>
  <c r="M62" i="14" l="1"/>
  <c r="L61" i="14"/>
  <c r="M63" i="14" l="1"/>
  <c r="L62" i="14"/>
  <c r="M64" i="14" l="1"/>
  <c r="L63" i="14"/>
  <c r="L64" i="14" l="1"/>
  <c r="M65" i="14"/>
  <c r="L65" i="14" l="1"/>
  <c r="M66" i="14"/>
  <c r="M67" i="14" l="1"/>
  <c r="L66" i="14"/>
  <c r="M68" i="14" l="1"/>
  <c r="L67" i="14"/>
  <c r="M69" i="14" l="1"/>
  <c r="L68" i="14"/>
  <c r="L69" i="14" l="1"/>
  <c r="M70" i="14"/>
  <c r="M71" i="14" l="1"/>
  <c r="L70" i="14"/>
  <c r="M72" i="14" l="1"/>
  <c r="L71" i="14"/>
  <c r="M73" i="14" l="1"/>
  <c r="L72" i="14"/>
  <c r="L73" i="14" l="1"/>
  <c r="M74" i="14"/>
  <c r="M75" i="14" l="1"/>
  <c r="L74" i="14"/>
  <c r="M76" i="14" l="1"/>
  <c r="L75" i="14"/>
  <c r="M77" i="14" l="1"/>
  <c r="L76" i="14"/>
  <c r="L77" i="14" l="1"/>
  <c r="M78" i="14"/>
  <c r="L78" i="14"/>
  <c r="M79" i="14"/>
  <c r="L79" i="14" l="1"/>
  <c r="M80" i="14"/>
  <c r="L80" i="14" l="1"/>
  <c r="M81" i="14"/>
  <c r="M82" i="14" l="1"/>
  <c r="L81" i="14"/>
  <c r="M83" i="14" l="1"/>
  <c r="L82" i="14"/>
  <c r="M84" i="14" l="1"/>
  <c r="L83" i="14"/>
  <c r="M85" i="14" l="1"/>
  <c r="L84" i="14"/>
  <c r="M86" i="14" l="1"/>
  <c r="L85" i="14"/>
  <c r="M87" i="14" l="1"/>
  <c r="L86" i="14"/>
  <c r="M88" i="14" l="1"/>
  <c r="L87" i="14"/>
  <c r="M89" i="14" l="1"/>
  <c r="L88" i="14"/>
  <c r="M90" i="14" l="1"/>
  <c r="L89" i="14"/>
  <c r="M91" i="14" l="1"/>
  <c r="L90" i="14"/>
  <c r="M92" i="14" l="1"/>
  <c r="L91" i="14"/>
  <c r="M93" i="14" l="1"/>
  <c r="L92" i="14"/>
  <c r="M94" i="14" l="1"/>
  <c r="L93" i="14"/>
  <c r="M95" i="14" l="1"/>
  <c r="L94" i="14"/>
  <c r="M96" i="14" l="1"/>
  <c r="L95" i="14"/>
  <c r="M97" i="14" l="1"/>
  <c r="L96" i="14"/>
  <c r="M98" i="14" l="1"/>
  <c r="L97" i="14"/>
  <c r="M99" i="14" l="1"/>
  <c r="L98" i="14"/>
  <c r="M100" i="14" l="1"/>
  <c r="L99" i="14"/>
  <c r="M101" i="14" l="1"/>
  <c r="L100" i="14"/>
  <c r="M102" i="14" l="1"/>
  <c r="L101" i="14"/>
  <c r="M103" i="14" l="1"/>
  <c r="L102" i="14"/>
  <c r="M104" i="14" l="1"/>
  <c r="L103" i="14"/>
  <c r="M105" i="14" l="1"/>
  <c r="L104" i="14"/>
  <c r="L105" i="14" l="1"/>
  <c r="M106" i="14"/>
  <c r="L106" i="14" l="1"/>
  <c r="M107" i="14"/>
  <c r="L107" i="14" l="1"/>
  <c r="O108" i="14" l="1"/>
  <c r="J110" i="14"/>
  <c r="M108" i="14" l="1"/>
  <c r="L108" i="14"/>
  <c r="J111" i="14"/>
  <c r="O109" i="14" l="1"/>
  <c r="M109" i="14" l="1"/>
  <c r="L109" i="14" l="1"/>
  <c r="O110" i="14" l="1"/>
  <c r="M110" i="14" l="1"/>
  <c r="L110" i="14" l="1"/>
  <c r="O111" i="14" l="1"/>
  <c r="M111" i="14" l="1"/>
  <c r="L111" i="14" l="1"/>
  <c r="O112" i="14" l="1"/>
  <c r="J112" i="14" l="1"/>
  <c r="M112" i="14"/>
  <c r="L112" i="14" l="1"/>
  <c r="O113" i="14" l="1"/>
  <c r="M113" i="14" l="1"/>
  <c r="L113" i="14"/>
  <c r="H114" i="14" l="1"/>
  <c r="J113" i="14" l="1"/>
  <c r="O114" i="14"/>
  <c r="J114" i="14" l="1"/>
  <c r="L114" i="14" l="1"/>
  <c r="M114" i="14"/>
  <c r="H115" i="14"/>
  <c r="J115" i="14" l="1"/>
  <c r="O115" i="14"/>
  <c r="M115" i="14" l="1"/>
  <c r="L115" i="14"/>
  <c r="J116" i="14" l="1"/>
  <c r="O116" i="14"/>
  <c r="H116" i="14"/>
  <c r="L116" i="14" l="1"/>
  <c r="M116" i="14" l="1"/>
  <c r="H117" i="14"/>
  <c r="O117" i="14"/>
  <c r="J117" i="14"/>
  <c r="M117" i="14" l="1"/>
  <c r="L117" i="14"/>
  <c r="H118" i="14" l="1"/>
  <c r="O118" i="14"/>
  <c r="J118" i="14" l="1"/>
  <c r="J119" i="14" l="1"/>
  <c r="L118" i="14"/>
  <c r="M118" i="14"/>
  <c r="O119" i="14" l="1"/>
  <c r="H119" i="14"/>
  <c r="M119" i="14" l="1"/>
  <c r="L119" i="14"/>
  <c r="O120" i="14" l="1"/>
  <c r="H120" i="14"/>
  <c r="J120" i="14" l="1"/>
  <c r="M120" i="14" l="1"/>
  <c r="L120" i="14"/>
  <c r="J121" i="14" l="1"/>
  <c r="O121" i="14"/>
  <c r="H121" i="14"/>
  <c r="J122" i="14" l="1"/>
  <c r="L121" i="14"/>
  <c r="M121" i="14"/>
  <c r="O122" i="14" l="1"/>
  <c r="H122" i="14"/>
  <c r="M122" i="14" l="1"/>
  <c r="L122" i="14"/>
  <c r="O123" i="14" l="1"/>
  <c r="H123" i="14"/>
  <c r="M123" i="14" l="1"/>
  <c r="L123" i="14"/>
  <c r="O124" i="14" l="1"/>
  <c r="H124" i="14"/>
  <c r="L124" i="14" l="1"/>
  <c r="M124" i="14"/>
  <c r="O125" i="14" l="1"/>
  <c r="H125" i="14"/>
  <c r="L125" i="14" l="1"/>
  <c r="M125" i="14"/>
  <c r="J123" i="14" l="1"/>
  <c r="J124" i="14" l="1"/>
  <c r="J125" i="14" l="1"/>
  <c r="O126" i="14" l="1"/>
  <c r="H126" i="14"/>
  <c r="L126" i="14" l="1"/>
  <c r="M126" i="14"/>
  <c r="H127" i="14" l="1"/>
  <c r="O127" i="14"/>
  <c r="J126" i="14"/>
  <c r="M127" i="14" l="1"/>
  <c r="L127" i="14"/>
  <c r="J127" i="14"/>
  <c r="J128" i="14" l="1"/>
  <c r="H128" i="14"/>
  <c r="O128" i="14"/>
  <c r="J129" i="14" l="1"/>
  <c r="M128" i="14" l="1"/>
  <c r="L128" i="14"/>
  <c r="O129" i="14" l="1"/>
  <c r="H129" i="14"/>
  <c r="L129" i="14" l="1"/>
  <c r="M129" i="14"/>
  <c r="H130" i="14" l="1"/>
  <c r="O130" i="14" l="1"/>
  <c r="M130" i="14" l="1"/>
  <c r="L130" i="14"/>
  <c r="O131" i="14" l="1"/>
  <c r="H131" i="14"/>
  <c r="M131" i="14" l="1"/>
  <c r="L131" i="14"/>
  <c r="H132" i="14" l="1"/>
  <c r="O132" i="14"/>
  <c r="M132" i="14" l="1"/>
  <c r="L132" i="14"/>
  <c r="O133" i="14" l="1"/>
  <c r="H133" i="14"/>
  <c r="M133" i="14" l="1"/>
  <c r="L133" i="14"/>
  <c r="H134" i="14" l="1"/>
  <c r="O134" i="14"/>
  <c r="L134" i="14" l="1"/>
  <c r="M134" i="14"/>
  <c r="O135" i="14" l="1"/>
  <c r="H135" i="14"/>
  <c r="L135" i="14" l="1"/>
  <c r="M135" i="14"/>
  <c r="O136" i="14" l="1"/>
  <c r="H136" i="14"/>
  <c r="M136" i="14" l="1"/>
  <c r="L136" i="14"/>
  <c r="H137" i="14" l="1"/>
  <c r="O137" i="14"/>
  <c r="M137" i="14" l="1"/>
  <c r="L137" i="14"/>
  <c r="H138" i="14" l="1"/>
  <c r="O138" i="14"/>
  <c r="M138" i="14" l="1"/>
  <c r="L138" i="14"/>
  <c r="O139" i="14" l="1"/>
  <c r="H139" i="14"/>
  <c r="M139" i="14" l="1"/>
  <c r="L139" i="14"/>
  <c r="H140" i="14" l="1"/>
  <c r="O140" i="14"/>
  <c r="L140" i="14" l="1"/>
  <c r="M140" i="14"/>
  <c r="O141" i="14" l="1"/>
  <c r="H141" i="14"/>
  <c r="L141" i="14" l="1"/>
  <c r="M141" i="14"/>
  <c r="H142" i="14" l="1"/>
  <c r="O142" i="14"/>
  <c r="M142" i="14" l="1"/>
  <c r="L142" i="14"/>
  <c r="O143" i="14" l="1"/>
  <c r="H143" i="14"/>
  <c r="L143" i="14" l="1"/>
  <c r="M143" i="14"/>
  <c r="O144" i="14" l="1"/>
  <c r="H144" i="14"/>
  <c r="L144" i="14" l="1"/>
  <c r="M144" i="14"/>
  <c r="H145" i="14" l="1"/>
  <c r="O145" i="14"/>
  <c r="M145" i="14" l="1"/>
  <c r="L145" i="14"/>
  <c r="H146" i="14" l="1"/>
  <c r="O146" i="14"/>
  <c r="L146" i="14" l="1"/>
  <c r="M146" i="14"/>
  <c r="O147" i="14" l="1"/>
  <c r="H147" i="14"/>
  <c r="M147" i="14" l="1"/>
  <c r="L147" i="14"/>
  <c r="H148" i="14" l="1"/>
  <c r="O148" i="14"/>
  <c r="L148" i="14" l="1"/>
  <c r="M148" i="14"/>
  <c r="O149" i="14" l="1"/>
  <c r="H149" i="14"/>
  <c r="M149" i="14" l="1"/>
  <c r="L149" i="14"/>
  <c r="H150" i="14" l="1"/>
  <c r="O150" i="14"/>
  <c r="L150" i="14" l="1"/>
  <c r="M150" i="14"/>
  <c r="O151" i="14" l="1"/>
  <c r="H151" i="14"/>
  <c r="M151" i="14" l="1"/>
  <c r="L151" i="14"/>
  <c r="O152" i="14" l="1"/>
  <c r="H152" i="14"/>
  <c r="L152" i="14" l="1"/>
  <c r="M152" i="14"/>
  <c r="H153" i="14" l="1"/>
  <c r="O153" i="14"/>
  <c r="M153" i="14" l="1"/>
  <c r="L153" i="14"/>
  <c r="H154" i="14" l="1"/>
  <c r="O154" i="14"/>
  <c r="M154" i="14" l="1"/>
  <c r="L154" i="14"/>
  <c r="O155" i="14" l="1"/>
  <c r="H155" i="14"/>
  <c r="L155" i="14" l="1"/>
  <c r="M155" i="14"/>
  <c r="H156" i="14" l="1"/>
  <c r="O156" i="14"/>
  <c r="L156" i="14" l="1"/>
  <c r="M156" i="14"/>
  <c r="O157" i="14" l="1"/>
  <c r="H157" i="14"/>
  <c r="L157" i="14" l="1"/>
  <c r="M157" i="14"/>
  <c r="H158" i="14" l="1"/>
  <c r="O158" i="14"/>
  <c r="M158" i="14" l="1"/>
  <c r="L158" i="14"/>
  <c r="O159" i="14" l="1"/>
  <c r="H159" i="14"/>
  <c r="M159" i="14" l="1"/>
  <c r="L159" i="14"/>
  <c r="O160" i="14" l="1"/>
  <c r="H160" i="14"/>
  <c r="L160" i="14" l="1"/>
  <c r="M160" i="14"/>
  <c r="H161" i="14" l="1"/>
  <c r="O161" i="14"/>
  <c r="M161" i="14" l="1"/>
  <c r="L161" i="14"/>
  <c r="H162" i="14" l="1"/>
  <c r="O162" i="14"/>
  <c r="M162" i="14" l="1"/>
  <c r="L162" i="14"/>
  <c r="O163" i="14" l="1"/>
  <c r="H163" i="14"/>
  <c r="M163" i="14" l="1"/>
  <c r="L163" i="14"/>
  <c r="H164" i="14" l="1"/>
  <c r="O164" i="14"/>
  <c r="L164" i="14" l="1"/>
  <c r="M164" i="14"/>
  <c r="O165" i="14" l="1"/>
  <c r="H165" i="14"/>
  <c r="L165" i="14" l="1"/>
  <c r="M165" i="14"/>
  <c r="H166" i="14" l="1"/>
  <c r="O166" i="14"/>
  <c r="M166" i="14" l="1"/>
  <c r="L166" i="14"/>
  <c r="O167" i="14" l="1"/>
  <c r="H167" i="14"/>
  <c r="M167" i="14" l="1"/>
  <c r="L167" i="14"/>
  <c r="O168" i="14" l="1"/>
  <c r="H168" i="14"/>
  <c r="M168" i="14" l="1"/>
  <c r="L168" i="14"/>
  <c r="H169" i="14" l="1"/>
  <c r="O169" i="14"/>
  <c r="L169" i="14" l="1"/>
  <c r="M169" i="14"/>
  <c r="H170" i="14" l="1"/>
  <c r="O170" i="14"/>
  <c r="M170" i="14" l="1"/>
  <c r="L170" i="14"/>
  <c r="O171" i="14" l="1"/>
  <c r="H171" i="14"/>
  <c r="M171" i="14" l="1"/>
  <c r="L171" i="14"/>
  <c r="H172" i="14" l="1"/>
  <c r="O172" i="14"/>
  <c r="L172" i="14" l="1"/>
  <c r="M172" i="14"/>
  <c r="O173" i="14" l="1"/>
  <c r="H173" i="14"/>
  <c r="L173" i="14" l="1"/>
  <c r="M173" i="14"/>
  <c r="O174" i="14" l="1"/>
  <c r="H174" i="14"/>
  <c r="M174" i="14" l="1"/>
  <c r="L174" i="14"/>
  <c r="O175" i="14" l="1"/>
  <c r="H175" i="14"/>
  <c r="M175" i="14" l="1"/>
  <c r="L175" i="14"/>
  <c r="H176" i="14" l="1"/>
  <c r="O176" i="14"/>
  <c r="M176" i="14" l="1"/>
  <c r="L176" i="14"/>
  <c r="O177" i="14" l="1"/>
  <c r="H177" i="14"/>
  <c r="L177" i="14" l="1"/>
  <c r="M177" i="14"/>
  <c r="H178" i="14" l="1"/>
  <c r="O178" i="14"/>
  <c r="M178" i="14" l="1"/>
  <c r="L178" i="14"/>
  <c r="O179" i="14" l="1"/>
  <c r="H179" i="14"/>
  <c r="M179" i="14" l="1"/>
  <c r="L179" i="14"/>
  <c r="H180" i="14" l="1"/>
  <c r="O180" i="14"/>
  <c r="L180" i="14" l="1"/>
  <c r="M180" i="14"/>
  <c r="O181" i="14" l="1"/>
  <c r="H181" i="14"/>
  <c r="L181" i="14" l="1"/>
  <c r="M181" i="14"/>
  <c r="H182" i="14" l="1"/>
  <c r="O182" i="14"/>
  <c r="L182" i="14" l="1"/>
  <c r="M182" i="14"/>
  <c r="O183" i="14" l="1"/>
  <c r="H183" i="14"/>
  <c r="L183" i="14" l="1"/>
  <c r="M183" i="14"/>
  <c r="H184" i="14" l="1"/>
  <c r="O184" i="14"/>
  <c r="L184" i="14" l="1"/>
  <c r="M184" i="14"/>
  <c r="O185" i="14" l="1"/>
  <c r="H185" i="14"/>
  <c r="L185" i="14" l="1"/>
  <c r="M185" i="14"/>
  <c r="H186" i="14" l="1"/>
  <c r="O186" i="14"/>
  <c r="M186" i="14" l="1"/>
  <c r="L186" i="14"/>
  <c r="O187" i="14" l="1"/>
  <c r="H187" i="14"/>
  <c r="L187" i="14" l="1"/>
  <c r="M187" i="14"/>
  <c r="H188" i="14" l="1"/>
  <c r="O188" i="14"/>
  <c r="L188" i="14" l="1"/>
  <c r="M188" i="14"/>
  <c r="O189" i="14" l="1"/>
  <c r="H189" i="14"/>
  <c r="L189" i="14" l="1"/>
  <c r="M189" i="14"/>
  <c r="H190" i="14" l="1"/>
  <c r="O190" i="14"/>
  <c r="L190" i="14" l="1"/>
  <c r="M190" i="14"/>
  <c r="O191" i="14" l="1"/>
  <c r="H191" i="14"/>
  <c r="M191" i="14" l="1"/>
  <c r="L191" i="14"/>
  <c r="H192" i="14" l="1"/>
  <c r="O192" i="14"/>
  <c r="M192" i="14" l="1"/>
  <c r="L192" i="14"/>
  <c r="H193" i="14" l="1"/>
  <c r="O193" i="14"/>
  <c r="L193" i="14" l="1"/>
  <c r="M193" i="14"/>
  <c r="H194" i="14" l="1"/>
  <c r="O194" i="14"/>
  <c r="M194" i="14" l="1"/>
  <c r="L194" i="14"/>
  <c r="O195" i="14" l="1"/>
  <c r="H195" i="14"/>
  <c r="M195" i="14" l="1"/>
  <c r="L195" i="14"/>
  <c r="O196" i="14" l="1"/>
  <c r="H196" i="14"/>
  <c r="M196" i="14" l="1"/>
  <c r="L196" i="14"/>
  <c r="O197" i="14" l="1"/>
  <c r="H197" i="14"/>
  <c r="M197" i="14" l="1"/>
  <c r="L197" i="14"/>
  <c r="O198" i="14" l="1"/>
  <c r="H198" i="14"/>
  <c r="L198" i="14" l="1"/>
  <c r="M198" i="14"/>
  <c r="O199" i="14" l="1"/>
  <c r="H199" i="14"/>
  <c r="M199" i="14" l="1"/>
  <c r="L199" i="14"/>
  <c r="H200" i="14" l="1"/>
  <c r="O200" i="14"/>
  <c r="L200" i="14" l="1"/>
  <c r="M200" i="14"/>
  <c r="O201" i="14" l="1"/>
  <c r="H201" i="14"/>
  <c r="M201" i="14" l="1"/>
  <c r="L201" i="14"/>
  <c r="H202" i="14" l="1"/>
  <c r="O202" i="14"/>
  <c r="M202" i="14" l="1"/>
  <c r="L202" i="14"/>
  <c r="O203" i="14" l="1"/>
  <c r="H203" i="14"/>
  <c r="L203" i="14" l="1"/>
  <c r="M203" i="14"/>
  <c r="H204" i="14" l="1"/>
  <c r="O204" i="14"/>
  <c r="L204" i="14" l="1"/>
  <c r="M204" i="14"/>
  <c r="H205" i="14" l="1"/>
  <c r="O205" i="14"/>
  <c r="L205" i="14" l="1"/>
  <c r="M205" i="14"/>
  <c r="O206" i="14" l="1"/>
  <c r="H206" i="14"/>
  <c r="L206" i="14" l="1"/>
  <c r="M206" i="14"/>
  <c r="O207" i="14" l="1"/>
  <c r="H207" i="14"/>
  <c r="L207" i="14" l="1"/>
  <c r="M207" i="14"/>
  <c r="O208" i="14" l="1"/>
  <c r="H208" i="14"/>
  <c r="M208" i="14" l="1"/>
  <c r="L208" i="14"/>
  <c r="O209" i="14" l="1"/>
  <c r="H209" i="14"/>
  <c r="L209" i="14" l="1"/>
  <c r="M209" i="14"/>
  <c r="O210" i="14" l="1"/>
  <c r="H210" i="14"/>
  <c r="L210" i="14" l="1"/>
  <c r="M210" i="14"/>
  <c r="H211" i="14" l="1"/>
  <c r="O211" i="14"/>
  <c r="L211" i="14" l="1"/>
  <c r="M211" i="14" l="1"/>
  <c r="H212" i="14" l="1"/>
  <c r="O212" i="14"/>
  <c r="L212" i="14" l="1"/>
  <c r="M212" i="14"/>
  <c r="O213" i="14" l="1"/>
  <c r="H213" i="14"/>
  <c r="L213" i="14" l="1"/>
  <c r="M213" i="14"/>
  <c r="H214" i="14" l="1"/>
  <c r="O214" i="14"/>
  <c r="M214" i="14" l="1"/>
  <c r="L214" i="14"/>
  <c r="H215" i="14" l="1"/>
  <c r="O215" i="14"/>
  <c r="M215" i="14" l="1"/>
  <c r="L215" i="14"/>
  <c r="O216" i="14" l="1"/>
  <c r="H216" i="14" l="1"/>
  <c r="L216" i="14" l="1"/>
  <c r="M216" i="14"/>
  <c r="O217" i="14" l="1"/>
  <c r="H217" i="14" l="1"/>
  <c r="L217" i="14" l="1"/>
  <c r="M217" i="14"/>
  <c r="O218" i="14" l="1"/>
  <c r="H218" i="14" l="1"/>
  <c r="L218" i="14" l="1"/>
  <c r="M218" i="14"/>
  <c r="O219" i="14" l="1"/>
  <c r="H219" i="14" l="1"/>
  <c r="L219" i="14" l="1"/>
  <c r="M219" i="14"/>
  <c r="O220" i="14"/>
  <c r="H220" i="14" l="1"/>
  <c r="L220" i="14"/>
  <c r="M220" i="14" l="1"/>
  <c r="J130" i="14"/>
  <c r="J131" i="14" l="1"/>
  <c r="J132" i="14" l="1"/>
  <c r="J133" i="14" l="1"/>
  <c r="J134" i="14" l="1"/>
  <c r="J135" i="14" l="1"/>
  <c r="J136" i="14" l="1"/>
  <c r="J137" i="14" l="1"/>
  <c r="J138" i="14" l="1"/>
  <c r="J139" i="14" l="1"/>
  <c r="J140" i="14" l="1"/>
  <c r="J141" i="14" l="1"/>
  <c r="J142" i="14" l="1"/>
  <c r="J143" i="14" l="1"/>
  <c r="J144" i="14" l="1"/>
  <c r="J145" i="14" l="1"/>
  <c r="J146" i="14" l="1"/>
  <c r="J147" i="14" l="1"/>
  <c r="J148" i="14" l="1"/>
  <c r="J149" i="14" l="1"/>
  <c r="J150" i="14" l="1"/>
  <c r="J151" i="14" l="1"/>
  <c r="J152" i="14" l="1"/>
  <c r="J153" i="14" l="1"/>
  <c r="J154" i="14" l="1"/>
  <c r="J155" i="14" l="1"/>
  <c r="J156" i="14" l="1"/>
  <c r="J157" i="14" l="1"/>
  <c r="J158" i="14" l="1"/>
  <c r="J159" i="14" l="1"/>
  <c r="J160" i="14" l="1"/>
  <c r="J161" i="14" l="1"/>
  <c r="J162" i="14" l="1"/>
  <c r="J163" i="14" l="1"/>
  <c r="J164" i="14" l="1"/>
  <c r="J165" i="14" l="1"/>
  <c r="J166" i="14" l="1"/>
  <c r="J167" i="14" l="1"/>
  <c r="J168" i="14" l="1"/>
  <c r="J169" i="14" l="1"/>
  <c r="J170" i="14" l="1"/>
  <c r="J171" i="14" l="1"/>
  <c r="J172" i="14" l="1"/>
  <c r="J173" i="14" l="1"/>
  <c r="J174" i="14" l="1"/>
  <c r="J175" i="14" l="1"/>
  <c r="J176" i="14" l="1"/>
  <c r="J177" i="14" l="1"/>
  <c r="J178" i="14" l="1"/>
  <c r="J179" i="14" l="1"/>
  <c r="J180" i="14" l="1"/>
  <c r="J181" i="14" l="1"/>
  <c r="J182" i="14" l="1"/>
  <c r="J183" i="14" l="1"/>
  <c r="J184" i="14" l="1"/>
  <c r="J185" i="14" l="1"/>
  <c r="J186" i="14" l="1"/>
  <c r="J187" i="14" l="1"/>
  <c r="J188" i="14" l="1"/>
  <c r="J189" i="14" l="1"/>
  <c r="J190" i="14" l="1"/>
  <c r="J191" i="14" l="1"/>
  <c r="J192" i="14" l="1"/>
  <c r="J193" i="14" l="1"/>
  <c r="J194" i="14" l="1"/>
  <c r="J195" i="14" l="1"/>
  <c r="J196" i="14" l="1"/>
  <c r="J197" i="14" l="1"/>
  <c r="J198" i="14" l="1"/>
  <c r="J199" i="14" l="1"/>
  <c r="J200" i="14" l="1"/>
  <c r="J201" i="14" l="1"/>
  <c r="J202" i="14" l="1"/>
  <c r="J203" i="14" l="1"/>
  <c r="J204" i="14" l="1"/>
  <c r="J205" i="14" l="1"/>
  <c r="J206" i="14" l="1"/>
  <c r="J207" i="14" l="1"/>
  <c r="J208" i="14" l="1"/>
  <c r="J209" i="14" l="1"/>
  <c r="J210" i="14" l="1"/>
  <c r="J211" i="14" l="1"/>
  <c r="J212" i="14" l="1"/>
  <c r="J213" i="14" l="1"/>
  <c r="J214" i="14" l="1"/>
  <c r="J215" i="14" l="1"/>
  <c r="J216" i="14" l="1"/>
  <c r="J217" i="14" l="1"/>
  <c r="J218" i="14" l="1"/>
  <c r="J219" i="14" l="1"/>
  <c r="J220" i="14" l="1"/>
  <c r="O221" i="14" l="1"/>
  <c r="H221" i="14"/>
  <c r="M221" i="14" l="1"/>
  <c r="L221" i="14"/>
  <c r="O222" i="14" l="1"/>
  <c r="H222" i="14" l="1"/>
  <c r="M222" i="14" l="1"/>
  <c r="L222" i="14"/>
  <c r="O223" i="14" l="1"/>
  <c r="H223" i="14" l="1"/>
  <c r="L223" i="14" l="1"/>
  <c r="M223" i="14"/>
  <c r="O224" i="14"/>
  <c r="H224" i="14" l="1"/>
  <c r="M224" i="14" l="1"/>
  <c r="L224" i="14"/>
  <c r="O225" i="14" l="1"/>
  <c r="H225" i="14" l="1"/>
  <c r="M225" i="14" l="1"/>
  <c r="L225" i="14"/>
  <c r="O226" i="14" l="1"/>
  <c r="H226" i="14" l="1"/>
  <c r="M226" i="14" l="1"/>
  <c r="L226" i="14"/>
  <c r="O227" i="14" l="1"/>
  <c r="H227" i="14" l="1"/>
  <c r="M227" i="14" l="1"/>
  <c r="L227" i="14"/>
  <c r="O228" i="14" l="1"/>
  <c r="H228" i="14" l="1"/>
  <c r="M228" i="14" l="1"/>
  <c r="L228" i="14"/>
  <c r="O229" i="14" l="1"/>
  <c r="H229" i="14" l="1"/>
  <c r="L229" i="14" l="1"/>
  <c r="M229" i="14"/>
  <c r="O230" i="14" l="1"/>
  <c r="H230" i="14" l="1"/>
  <c r="M230" i="14" l="1"/>
  <c r="L230" i="14"/>
  <c r="O231" i="14"/>
  <c r="H231" i="14" l="1"/>
  <c r="L231" i="14" l="1"/>
  <c r="M231" i="14"/>
  <c r="O232" i="14" l="1"/>
  <c r="H232" i="14" l="1"/>
  <c r="L232" i="14" l="1"/>
  <c r="M232" i="14"/>
  <c r="O233" i="14" l="1"/>
  <c r="H233" i="14"/>
  <c r="L233" i="14" l="1"/>
  <c r="M233" i="14"/>
  <c r="O234" i="14"/>
  <c r="H234" i="14"/>
  <c r="B33" i="14"/>
  <c r="M234" i="14" l="1"/>
  <c r="L234" i="14"/>
  <c r="O235" i="14" l="1"/>
  <c r="B34" i="14"/>
  <c r="H235" i="14"/>
  <c r="L235" i="14" l="1"/>
  <c r="M235" i="14"/>
  <c r="O236" i="14" l="1"/>
  <c r="H236" i="14" l="1"/>
  <c r="L236" i="14" l="1"/>
  <c r="M236" i="14"/>
  <c r="O237" i="14"/>
  <c r="H237" i="14" l="1"/>
  <c r="L237" i="14" l="1"/>
  <c r="M237" i="14"/>
  <c r="O238" i="14" l="1"/>
  <c r="H238" i="14" l="1"/>
  <c r="M238" i="14" l="1"/>
  <c r="L238" i="14"/>
  <c r="O239" i="14" l="1"/>
  <c r="H239" i="14" l="1"/>
  <c r="L239" i="14" l="1"/>
  <c r="M239" i="14"/>
  <c r="O240" i="14" l="1"/>
  <c r="H240" i="14" l="1"/>
  <c r="L240" i="14" l="1"/>
  <c r="M240" i="14"/>
  <c r="O241" i="14" l="1"/>
  <c r="H241" i="14" l="1"/>
  <c r="M241" i="14" l="1"/>
  <c r="L241" i="14"/>
  <c r="O242" i="14"/>
  <c r="J221" i="14"/>
  <c r="H242" i="14" l="1"/>
  <c r="J222" i="14"/>
  <c r="J223" i="14" l="1"/>
  <c r="M242" i="14"/>
  <c r="L242" i="14"/>
  <c r="O243" i="14" l="1"/>
  <c r="H243" i="14" l="1"/>
  <c r="J224" i="14"/>
  <c r="L243" i="14" l="1"/>
  <c r="M243" i="14"/>
  <c r="J225" i="14"/>
  <c r="O244" i="14" l="1"/>
  <c r="H244" i="14" l="1"/>
  <c r="M244" i="14" l="1"/>
  <c r="L244" i="14"/>
  <c r="O245" i="14" l="1"/>
  <c r="H245" i="14" l="1"/>
  <c r="L245" i="14" l="1"/>
  <c r="M245" i="14"/>
  <c r="O246" i="14" l="1"/>
  <c r="H246" i="14" l="1"/>
  <c r="M246" i="14" l="1"/>
  <c r="L246" i="14"/>
  <c r="O247" i="14" l="1"/>
  <c r="H247" i="14" l="1"/>
  <c r="M247" i="14" l="1"/>
  <c r="L247" i="14"/>
  <c r="O248" i="14" l="1"/>
  <c r="H248" i="14" l="1"/>
  <c r="M248" i="14" l="1"/>
  <c r="L248" i="14"/>
  <c r="O249" i="14" l="1"/>
  <c r="H249" i="14" l="1"/>
  <c r="L249" i="14" l="1"/>
  <c r="M249" i="14"/>
  <c r="O250" i="14" l="1"/>
  <c r="H250" i="14" l="1"/>
  <c r="L250" i="14" l="1"/>
  <c r="M250" i="14"/>
  <c r="O251" i="14" l="1"/>
  <c r="H251" i="14" l="1"/>
  <c r="M251" i="14" l="1"/>
  <c r="L251" i="14"/>
  <c r="O252" i="14" l="1"/>
  <c r="H252" i="14" l="1"/>
  <c r="M252" i="14" l="1"/>
  <c r="L252" i="14"/>
  <c r="O253" i="14" l="1"/>
  <c r="H253" i="14" l="1"/>
  <c r="L253" i="14" l="1"/>
  <c r="M253" i="14"/>
  <c r="O254" i="14" l="1"/>
  <c r="H254" i="14" l="1"/>
  <c r="M254" i="14" l="1"/>
  <c r="L254" i="14"/>
  <c r="O255" i="14" l="1"/>
  <c r="H255" i="14" l="1"/>
  <c r="L255" i="14" l="1"/>
  <c r="M255" i="14"/>
  <c r="O256" i="14" l="1"/>
  <c r="H256" i="14" l="1"/>
  <c r="M256" i="14" l="1"/>
  <c r="L256" i="14"/>
  <c r="O257" i="14" l="1"/>
  <c r="H257" i="14" l="1"/>
  <c r="L257" i="14" l="1"/>
  <c r="M257" i="14"/>
  <c r="O258" i="14" l="1"/>
  <c r="H258" i="14"/>
  <c r="L258" i="14" l="1"/>
  <c r="M258" i="14"/>
  <c r="J226" i="14" l="1"/>
  <c r="J227" i="14" l="1"/>
  <c r="J228" i="14" l="1"/>
  <c r="J229" i="14" l="1"/>
  <c r="J230" i="14" l="1"/>
  <c r="J231" i="14" l="1"/>
  <c r="J232" i="14" l="1"/>
  <c r="J233" i="14" l="1"/>
  <c r="J234" i="14" l="1"/>
  <c r="J235" i="14" l="1"/>
  <c r="J236" i="14" l="1"/>
  <c r="J237" i="14" l="1"/>
  <c r="J238" i="14" l="1"/>
  <c r="J239" i="14" l="1"/>
  <c r="J240" i="14" l="1"/>
  <c r="J241" i="14" l="1"/>
  <c r="J242" i="14" l="1"/>
  <c r="J243" i="14" l="1"/>
  <c r="J244" i="14" l="1"/>
  <c r="J245" i="14" l="1"/>
  <c r="J246" i="14" l="1"/>
  <c r="J247" i="14" l="1"/>
  <c r="J248" i="14" l="1"/>
  <c r="J249" i="14" l="1"/>
  <c r="J250" i="14" l="1"/>
  <c r="J251" i="14" l="1"/>
  <c r="J252" i="14" l="1"/>
  <c r="J253" i="14" l="1"/>
  <c r="J254" i="14" l="1"/>
  <c r="J255" i="14" l="1"/>
  <c r="J256" i="14" l="1"/>
  <c r="J257" i="14" l="1"/>
  <c r="J258" i="14" l="1"/>
  <c r="O259" i="14" l="1"/>
  <c r="H259" i="14"/>
  <c r="M259" i="14" l="1"/>
  <c r="L259" i="14" l="1"/>
  <c r="J259" i="14" l="1"/>
  <c r="J260" i="14" s="1"/>
  <c r="J261" i="14" s="1"/>
  <c r="O260" i="14"/>
  <c r="I260" i="14"/>
  <c r="M260" i="14" l="1"/>
  <c r="L260" i="14"/>
  <c r="H260" i="14"/>
  <c r="O261" i="14" l="1"/>
  <c r="I261" i="14"/>
  <c r="M261" i="14" l="1"/>
  <c r="L261" i="14"/>
  <c r="H261" i="14"/>
  <c r="I262" i="14" l="1"/>
  <c r="O262" i="14"/>
  <c r="L262" i="14" l="1"/>
  <c r="M262" i="14"/>
  <c r="I263" i="14" l="1"/>
  <c r="O263" i="14"/>
  <c r="L263" i="14" l="1"/>
  <c r="M263" i="14"/>
  <c r="H262" i="14" l="1"/>
  <c r="H263" i="14" l="1"/>
  <c r="B35" i="14" l="1"/>
  <c r="O264" i="14"/>
  <c r="I264" i="14"/>
  <c r="L264" i="14" l="1"/>
  <c r="M264" i="14"/>
  <c r="H264" i="14"/>
  <c r="B36" i="14" l="1"/>
  <c r="O265" i="14"/>
  <c r="I265" i="14"/>
  <c r="M265" i="14" l="1"/>
  <c r="L265" i="14"/>
  <c r="H265" i="14"/>
  <c r="B37" i="14" l="1"/>
  <c r="O266" i="14"/>
  <c r="I266" i="14"/>
  <c r="H266" i="14" l="1"/>
  <c r="L266" i="14"/>
  <c r="M266" i="14"/>
  <c r="B38" i="14" l="1"/>
  <c r="O267" i="14"/>
  <c r="I267" i="14"/>
  <c r="L267" i="14" l="1"/>
  <c r="M267" i="14"/>
  <c r="H267" i="14"/>
  <c r="B39" i="14" l="1"/>
  <c r="B51" i="14" s="1"/>
  <c r="O268" i="14"/>
  <c r="I268" i="14"/>
  <c r="L268" i="14" l="1"/>
  <c r="M268" i="14"/>
  <c r="B53" i="14"/>
  <c r="B56" i="14"/>
  <c r="B55" i="14"/>
  <c r="B52" i="14"/>
  <c r="B57" i="14"/>
  <c r="H268" i="14"/>
  <c r="B54" i="14"/>
  <c r="O269" i="14" l="1"/>
  <c r="I269" i="14"/>
  <c r="I270" i="14" l="1"/>
  <c r="L269" i="14"/>
  <c r="M269" i="14"/>
  <c r="H269" i="14"/>
  <c r="M270" i="14" l="1"/>
  <c r="L270" i="14"/>
  <c r="J262" i="14"/>
  <c r="O270" i="14"/>
  <c r="H270" i="14" l="1"/>
  <c r="J263" i="14"/>
  <c r="O271" i="14"/>
  <c r="H271" i="14" l="1"/>
  <c r="J264" i="14"/>
  <c r="J265" i="14" l="1"/>
  <c r="J266" i="14" l="1"/>
  <c r="J267" i="14" l="1"/>
  <c r="J268" i="14" l="1"/>
  <c r="J269" i="14" l="1"/>
  <c r="J270" i="14" l="1"/>
  <c r="J271" i="14" l="1"/>
  <c r="I271" i="14"/>
  <c r="I272" i="14" s="1"/>
  <c r="O272" i="14"/>
  <c r="M271" i="14" l="1"/>
  <c r="L272" i="14"/>
  <c r="M272" i="14"/>
  <c r="L271" i="14"/>
  <c r="O273" i="14"/>
  <c r="H272" i="14"/>
  <c r="J272" i="14"/>
  <c r="I273" i="14" l="1"/>
  <c r="M273" i="14" s="1"/>
  <c r="J273" i="14"/>
  <c r="L273" i="14" l="1"/>
  <c r="H273" i="14"/>
  <c r="O274" i="14"/>
  <c r="I274" i="14"/>
  <c r="I275" i="14" s="1"/>
  <c r="H274" i="14"/>
  <c r="J274" i="14"/>
  <c r="M274" i="14" l="1"/>
  <c r="L274" i="14"/>
  <c r="O275" i="14"/>
  <c r="O276" i="14"/>
  <c r="J275" i="14"/>
  <c r="I276" i="14"/>
  <c r="L275" i="14"/>
  <c r="M275" i="14"/>
  <c r="H275" i="14" l="1"/>
  <c r="O277" i="14"/>
  <c r="J276" i="14"/>
  <c r="I277" i="14"/>
  <c r="M276" i="14"/>
  <c r="L276" i="14"/>
  <c r="H276" i="14"/>
  <c r="O278" i="14" l="1"/>
  <c r="I278" i="14"/>
  <c r="L277" i="14"/>
  <c r="M277" i="14"/>
  <c r="J277" i="14"/>
  <c r="H277" i="14"/>
  <c r="H278" i="14" l="1"/>
  <c r="O279" i="14"/>
  <c r="I279" i="14"/>
  <c r="L278" i="14"/>
  <c r="M278" i="14"/>
  <c r="O280" i="14" l="1"/>
  <c r="J278" i="14"/>
  <c r="I280" i="14"/>
  <c r="M279" i="14"/>
  <c r="L279" i="14"/>
  <c r="H279" i="14"/>
  <c r="M280" i="14" l="1"/>
  <c r="L280" i="14"/>
  <c r="H280" i="14"/>
  <c r="J279" i="14"/>
  <c r="J280" i="14" l="1"/>
  <c r="O281" i="14"/>
  <c r="I281" i="14"/>
  <c r="H281" i="14" l="1"/>
  <c r="M281" i="14"/>
  <c r="L281" i="14"/>
  <c r="J281" i="14"/>
  <c r="O282" i="14" l="1"/>
  <c r="I282" i="14"/>
  <c r="J282" i="14"/>
  <c r="M282" i="14" l="1"/>
  <c r="L282" i="14"/>
  <c r="H282" i="14"/>
  <c r="J283" i="14"/>
  <c r="O283" i="14" l="1"/>
  <c r="I283" i="14"/>
  <c r="J284" i="14"/>
  <c r="J285" i="14" l="1"/>
  <c r="L283" i="14"/>
  <c r="M283" i="14"/>
  <c r="H283" i="14"/>
  <c r="I284" i="14" l="1"/>
  <c r="O284" i="14"/>
  <c r="J286" i="14"/>
  <c r="H284" i="14" l="1"/>
  <c r="I285" i="14"/>
  <c r="M284" i="14"/>
  <c r="L284" i="14"/>
  <c r="O285" i="14"/>
  <c r="J287" i="14"/>
  <c r="O286" i="14" l="1"/>
  <c r="I286" i="14"/>
  <c r="L285" i="14"/>
  <c r="M285" i="14"/>
  <c r="J288" i="14"/>
  <c r="H285" i="14"/>
  <c r="H286" i="14" l="1"/>
  <c r="O287" i="14"/>
  <c r="J289" i="14"/>
  <c r="I287" i="14"/>
  <c r="M286" i="14"/>
  <c r="L286" i="14"/>
  <c r="O288" i="14" l="1"/>
  <c r="I288" i="14"/>
  <c r="M287" i="14"/>
  <c r="L287" i="14"/>
  <c r="J290" i="14"/>
  <c r="H287" i="14"/>
  <c r="O289" i="14" l="1"/>
  <c r="I289" i="14"/>
  <c r="L288" i="14"/>
  <c r="M288" i="14"/>
  <c r="H288" i="14"/>
  <c r="M289" i="14" l="1"/>
  <c r="L289" i="14"/>
  <c r="H289" i="14"/>
  <c r="O290" i="14" l="1"/>
  <c r="I290" i="14"/>
  <c r="L290" i="14" l="1"/>
  <c r="M290" i="14"/>
  <c r="H290" i="14"/>
  <c r="J291" i="14" l="1"/>
  <c r="J292" i="14" l="1"/>
  <c r="E291" i="14"/>
  <c r="O291" i="14"/>
  <c r="I291" i="14"/>
  <c r="H291" i="14" l="1"/>
  <c r="J293" i="14"/>
  <c r="L291" i="14"/>
  <c r="M291" i="14"/>
  <c r="E292" i="14" l="1"/>
  <c r="O292" i="14"/>
  <c r="I292" i="14"/>
  <c r="J294" i="14"/>
  <c r="I293" i="14" l="1"/>
  <c r="L292" i="14"/>
  <c r="M292" i="14"/>
  <c r="H292" i="14"/>
  <c r="I294" i="14" l="1"/>
  <c r="L293" i="14"/>
  <c r="M293" i="14"/>
  <c r="E293" i="14"/>
  <c r="O293" i="14"/>
  <c r="H293" i="14" l="1"/>
  <c r="E294" i="14"/>
  <c r="O294" i="14"/>
  <c r="M294" i="14"/>
  <c r="L294" i="14"/>
  <c r="E295" i="14" l="1"/>
  <c r="O295" i="14"/>
  <c r="I295" i="14"/>
  <c r="H294" i="14"/>
  <c r="J295" i="14" l="1"/>
  <c r="J296" i="14" s="1"/>
  <c r="M295" i="14"/>
  <c r="L295" i="14"/>
  <c r="H295" i="14"/>
  <c r="J297" i="14" l="1"/>
  <c r="E296" i="14"/>
  <c r="O296" i="14"/>
  <c r="I296" i="14"/>
  <c r="L296" i="14" l="1"/>
  <c r="M296" i="14"/>
  <c r="H296" i="14"/>
  <c r="I297" i="14"/>
  <c r="J298" i="14" l="1"/>
  <c r="J299" i="14"/>
  <c r="L297" i="14"/>
  <c r="M297" i="14"/>
  <c r="E297" i="14"/>
  <c r="O297" i="14"/>
  <c r="J300" i="14" l="1"/>
  <c r="H297" i="14"/>
  <c r="I298" i="14"/>
  <c r="E298" i="14"/>
  <c r="O298" i="14"/>
  <c r="J301" i="14" l="1"/>
  <c r="H298" i="14"/>
  <c r="L298" i="14"/>
  <c r="M298" i="14"/>
  <c r="J302" i="14" l="1"/>
  <c r="E299" i="14"/>
  <c r="O299" i="14"/>
  <c r="I299" i="14"/>
  <c r="I300" i="14" l="1"/>
  <c r="M299" i="14"/>
  <c r="L299" i="14"/>
  <c r="H299" i="14"/>
  <c r="M300" i="14" l="1"/>
  <c r="L300" i="14"/>
  <c r="E300" i="14"/>
  <c r="O300" i="14"/>
  <c r="I301" i="14"/>
  <c r="J303" i="14"/>
  <c r="L301" i="14" l="1"/>
  <c r="M301" i="14"/>
  <c r="E301" i="14"/>
  <c r="O301" i="14"/>
  <c r="H300" i="14"/>
  <c r="E302" i="14" l="1"/>
  <c r="O302" i="14"/>
  <c r="I302" i="14"/>
  <c r="H301" i="14"/>
  <c r="L302" i="14" l="1"/>
  <c r="M302" i="14"/>
  <c r="H302" i="14"/>
  <c r="E303" i="14" l="1"/>
  <c r="O303" i="14"/>
  <c r="I303" i="14"/>
  <c r="E304" i="14" l="1"/>
  <c r="O304" i="14"/>
  <c r="L303" i="14"/>
  <c r="I304" i="14"/>
  <c r="M303" i="14"/>
  <c r="H303" i="14"/>
  <c r="I305" i="14" l="1"/>
  <c r="L304" i="14"/>
  <c r="M304" i="14"/>
  <c r="H304" i="14"/>
  <c r="E305" i="14"/>
  <c r="O305" i="14"/>
  <c r="H305" i="14" l="1"/>
  <c r="L305" i="14"/>
  <c r="M305" i="14"/>
  <c r="I306" i="14"/>
  <c r="E306" i="14"/>
  <c r="O306" i="14"/>
  <c r="H306" i="14" l="1"/>
  <c r="E307" i="14"/>
  <c r="O307" i="14"/>
  <c r="L306" i="14"/>
  <c r="M306" i="14"/>
  <c r="I307" i="14"/>
  <c r="H307" i="14" l="1"/>
  <c r="M307" i="14"/>
  <c r="L307" i="14"/>
  <c r="E308" i="14" l="1"/>
  <c r="O308" i="14"/>
  <c r="I308" i="14"/>
  <c r="H308" i="14" l="1"/>
  <c r="L308" i="14"/>
  <c r="M308" i="14"/>
  <c r="I309" i="14"/>
  <c r="E309" i="14"/>
  <c r="O309" i="14"/>
  <c r="H309" i="14" l="1"/>
  <c r="I310" i="14"/>
  <c r="L309" i="14"/>
  <c r="M309" i="14"/>
  <c r="M310" i="14" l="1"/>
  <c r="L310" i="14"/>
  <c r="E310" i="14"/>
  <c r="O310" i="14"/>
  <c r="E311" i="14" l="1"/>
  <c r="O311" i="14"/>
  <c r="I311" i="14"/>
  <c r="H310" i="14"/>
  <c r="M311" i="14" l="1"/>
  <c r="L311" i="14"/>
  <c r="I312" i="14"/>
  <c r="E312" i="14"/>
  <c r="O312" i="14"/>
  <c r="H311" i="14"/>
  <c r="L312" i="14" l="1"/>
  <c r="M312" i="14"/>
  <c r="I313" i="14"/>
  <c r="E313" i="14"/>
  <c r="O313" i="14"/>
  <c r="H312" i="14"/>
  <c r="H313" i="14" l="1"/>
  <c r="L313" i="14"/>
  <c r="M313" i="14"/>
  <c r="E314" i="14" l="1"/>
  <c r="I314" i="14"/>
  <c r="L314" i="14" s="1"/>
  <c r="O314" i="14"/>
  <c r="M314" i="14" l="1"/>
  <c r="H314" i="14"/>
  <c r="E315" i="14"/>
  <c r="O315" i="14"/>
  <c r="I315" i="14"/>
  <c r="H315" i="14" l="1"/>
  <c r="L315" i="14"/>
  <c r="M315" i="14"/>
  <c r="E316" i="14" l="1"/>
  <c r="O316" i="14"/>
  <c r="I316" i="14"/>
  <c r="E317" i="14" l="1"/>
  <c r="O317" i="14"/>
  <c r="L316" i="14"/>
  <c r="M316" i="14"/>
  <c r="I317" i="14"/>
  <c r="H316" i="14"/>
  <c r="E318" i="14" l="1"/>
  <c r="O318" i="14"/>
  <c r="M317" i="14"/>
  <c r="L317" i="14"/>
  <c r="I318" i="14"/>
  <c r="H317" i="14"/>
  <c r="I319" i="14" l="1"/>
  <c r="M318" i="14"/>
  <c r="L318" i="14"/>
  <c r="H318" i="14"/>
  <c r="M319" i="14" l="1"/>
  <c r="L319" i="14"/>
  <c r="E319" i="14"/>
  <c r="O319" i="14"/>
  <c r="I320" i="14"/>
  <c r="M320" i="14" l="1"/>
  <c r="L320" i="14"/>
  <c r="H319" i="14"/>
  <c r="E320" i="14"/>
  <c r="O320" i="14"/>
  <c r="E321" i="14" l="1"/>
  <c r="O321" i="14"/>
  <c r="I321" i="14"/>
  <c r="H320" i="14"/>
  <c r="I322" i="14" l="1"/>
  <c r="M322" i="14" s="1"/>
  <c r="E323" i="14"/>
  <c r="H321" i="14"/>
  <c r="O322" i="14"/>
  <c r="E322" i="14"/>
  <c r="M321" i="14"/>
  <c r="L321" i="14"/>
  <c r="L322" i="14" l="1"/>
  <c r="H322" i="14"/>
  <c r="O323" i="14"/>
  <c r="I323" i="14"/>
  <c r="E324" i="14" s="1"/>
  <c r="H323" i="14"/>
  <c r="M323" i="14" l="1"/>
  <c r="I324" i="14"/>
  <c r="E325" i="14" s="1"/>
  <c r="L323" i="14"/>
  <c r="O324" i="14"/>
  <c r="H324" i="14"/>
  <c r="M324" i="14" l="1"/>
  <c r="L324" i="14"/>
  <c r="I325" i="14"/>
  <c r="O325" i="14"/>
  <c r="H325" i="14"/>
  <c r="L325" i="14" l="1"/>
  <c r="M325" i="14"/>
  <c r="E326" i="14" l="1"/>
  <c r="I326" i="14"/>
  <c r="O326" i="14"/>
  <c r="H326" i="14" l="1"/>
  <c r="E327" i="14"/>
  <c r="O327" i="14"/>
  <c r="I327" i="14"/>
  <c r="M326" i="14"/>
  <c r="L326" i="14"/>
  <c r="H327" i="14" l="1"/>
  <c r="L327" i="14"/>
  <c r="M327" i="14"/>
  <c r="O328" i="14" l="1"/>
  <c r="I328" i="14"/>
  <c r="E328" i="14"/>
  <c r="E329" i="14"/>
  <c r="H328" i="14" l="1"/>
  <c r="I329" i="14"/>
  <c r="L329" i="14" s="1"/>
  <c r="O329" i="14"/>
  <c r="H329" i="14"/>
  <c r="M328" i="14"/>
  <c r="L328" i="14"/>
  <c r="M329" i="14" l="1"/>
  <c r="E330" i="14" l="1"/>
  <c r="O330" i="14"/>
  <c r="I330" i="14"/>
  <c r="O331" i="14" l="1"/>
  <c r="E331" i="14"/>
  <c r="I331" i="14"/>
  <c r="M330" i="14"/>
  <c r="L330" i="14"/>
  <c r="H330" i="14"/>
  <c r="I332" i="14" l="1"/>
  <c r="L331" i="14"/>
  <c r="M331" i="14"/>
  <c r="H331" i="14"/>
  <c r="O332" i="14"/>
  <c r="L332" i="14" l="1"/>
  <c r="I333" i="14"/>
  <c r="M332" i="14"/>
  <c r="E332" i="14"/>
  <c r="L333" i="14"/>
  <c r="E333" i="14"/>
  <c r="M333" i="14" l="1"/>
  <c r="I334" i="14"/>
  <c r="L334" i="14" s="1"/>
  <c r="H332" i="14"/>
  <c r="O333" i="14"/>
  <c r="H333" i="14"/>
  <c r="E334" i="14"/>
  <c r="O334" i="14"/>
  <c r="M334" i="14" l="1"/>
  <c r="H334" i="14"/>
  <c r="J304" i="14" l="1"/>
  <c r="J305" i="14" l="1"/>
  <c r="J306" i="14" l="1"/>
  <c r="J307" i="14" l="1"/>
  <c r="J308" i="14" l="1"/>
  <c r="J309" i="14" l="1"/>
  <c r="J310" i="14" l="1"/>
  <c r="J311" i="14" l="1"/>
  <c r="J312" i="14" l="1"/>
  <c r="J313" i="14" l="1"/>
  <c r="J314" i="14" l="1"/>
  <c r="J315" i="14" l="1"/>
  <c r="J316" i="14" l="1"/>
  <c r="J317" i="14" l="1"/>
  <c r="J318" i="14" l="1"/>
  <c r="J319" i="14" l="1"/>
  <c r="J320" i="14" l="1"/>
  <c r="J321" i="14" l="1"/>
  <c r="J322" i="14" l="1"/>
  <c r="J323" i="14" l="1"/>
  <c r="J324" i="14" l="1"/>
  <c r="J325" i="14" l="1"/>
  <c r="J326" i="14" l="1"/>
  <c r="J327" i="14" l="1"/>
  <c r="J328" i="14" l="1"/>
  <c r="J329" i="14" l="1"/>
  <c r="J330" i="14" l="1"/>
  <c r="J331" i="14" l="1"/>
  <c r="J332" i="14" l="1"/>
  <c r="J333" i="14" l="1"/>
  <c r="J334" i="14" l="1"/>
  <c r="J335" i="14" l="1"/>
  <c r="J336" i="14" l="1"/>
  <c r="J337" i="14" l="1"/>
  <c r="J338" i="14" l="1"/>
  <c r="J339" i="14" l="1"/>
  <c r="J340" i="14" l="1"/>
  <c r="J341" i="14" l="1"/>
  <c r="J342" i="14" l="1"/>
  <c r="J343" i="14" l="1"/>
  <c r="J344" i="14" l="1"/>
  <c r="J345" i="14" l="1"/>
  <c r="J346" i="14" l="1"/>
  <c r="J347" i="14" l="1"/>
  <c r="J348" i="14" l="1"/>
  <c r="J349" i="14" l="1"/>
  <c r="J350" i="14" l="1"/>
  <c r="J351" i="14" l="1"/>
  <c r="J352" i="14" l="1"/>
  <c r="J353" i="14" l="1"/>
  <c r="J354" i="14" l="1"/>
  <c r="J355" i="14" l="1"/>
  <c r="J356" i="14" l="1"/>
  <c r="J357" i="14" l="1"/>
  <c r="J358" i="14" l="1"/>
  <c r="J359" i="14" l="1"/>
  <c r="J360" i="14" l="1"/>
  <c r="J361" i="14" l="1"/>
  <c r="J362" i="14" l="1"/>
  <c r="J363" i="14" l="1"/>
  <c r="J364" i="14" l="1"/>
  <c r="J365" i="14" l="1"/>
  <c r="J366" i="14" l="1"/>
  <c r="J367" i="14" l="1"/>
  <c r="J368" i="14" l="1"/>
  <c r="J369" i="14" l="1"/>
  <c r="J370" i="14" l="1"/>
  <c r="J371" i="14" l="1"/>
  <c r="J372" i="14" l="1"/>
  <c r="J373" i="14" l="1"/>
  <c r="J374" i="14" l="1"/>
  <c r="J375" i="14" l="1"/>
  <c r="J376" i="14" l="1"/>
  <c r="J377" i="14" l="1"/>
  <c r="J378" i="14" l="1"/>
  <c r="J379" i="14" l="1"/>
  <c r="J380" i="14" l="1"/>
  <c r="J381" i="14" l="1"/>
  <c r="J382" i="14" l="1"/>
  <c r="J383" i="14" l="1"/>
  <c r="J384" i="14" l="1"/>
  <c r="J385" i="14" l="1"/>
  <c r="J386" i="14" l="1"/>
  <c r="J387" i="14" l="1"/>
  <c r="J388" i="14" l="1"/>
  <c r="J389" i="14" l="1"/>
  <c r="J390" i="14" l="1"/>
  <c r="J391" i="14" l="1"/>
  <c r="J392" i="14" l="1"/>
  <c r="J393" i="14" l="1"/>
  <c r="J394" i="14" l="1"/>
  <c r="J395" i="14" l="1"/>
  <c r="J396" i="14" l="1"/>
  <c r="J397" i="14" l="1"/>
  <c r="J398" i="14" l="1"/>
  <c r="J399" i="14" l="1"/>
  <c r="J400" i="14" l="1"/>
  <c r="J401" i="14" l="1"/>
  <c r="J402" i="14" l="1"/>
  <c r="J403" i="14" l="1"/>
  <c r="J404" i="14" l="1"/>
  <c r="J405" i="14" l="1"/>
  <c r="J406" i="14" l="1"/>
  <c r="J407" i="14" l="1"/>
  <c r="J408" i="14" l="1"/>
  <c r="J409" i="14" l="1"/>
  <c r="J410" i="14" l="1"/>
  <c r="J411" i="14" l="1"/>
  <c r="J412" i="14" l="1"/>
  <c r="J413" i="14" l="1"/>
  <c r="J414" i="14" l="1"/>
  <c r="J415" i="14" l="1"/>
  <c r="J416" i="14" l="1"/>
  <c r="J417" i="14" l="1"/>
  <c r="J418" i="14" l="1"/>
  <c r="J419" i="14" l="1"/>
  <c r="J420" i="14" l="1"/>
  <c r="J421" i="14" l="1"/>
  <c r="J422" i="14" l="1"/>
  <c r="J423" i="14" l="1"/>
  <c r="J424" i="14" l="1"/>
  <c r="J425" i="14" l="1"/>
  <c r="J426" i="14" l="1"/>
  <c r="J427" i="14" l="1"/>
  <c r="J428" i="14" l="1"/>
  <c r="J429" i="14" l="1"/>
  <c r="J430" i="14" l="1"/>
  <c r="J431" i="14" l="1"/>
  <c r="J432" i="14" l="1"/>
  <c r="J433" i="14" l="1"/>
  <c r="J434" i="14" l="1"/>
  <c r="J435" i="14" l="1"/>
  <c r="J436" i="14" l="1"/>
  <c r="J437" i="14" l="1"/>
  <c r="J438" i="14" l="1"/>
  <c r="J439" i="14" l="1"/>
  <c r="J440" i="14" l="1"/>
  <c r="J441" i="14" l="1"/>
  <c r="J442" i="14" l="1"/>
  <c r="J443" i="14" l="1"/>
  <c r="J444" i="14" l="1"/>
  <c r="J445" i="14" l="1"/>
  <c r="J446" i="14" l="1"/>
  <c r="J447" i="14" l="1"/>
  <c r="J448" i="14" l="1"/>
  <c r="J449" i="14" l="1"/>
  <c r="J450" i="14" l="1"/>
  <c r="J451" i="14" l="1"/>
  <c r="J452" i="14" l="1"/>
  <c r="J453" i="14" l="1"/>
  <c r="J454" i="14" l="1"/>
  <c r="J455" i="14" l="1"/>
  <c r="J456" i="14" l="1"/>
  <c r="J457" i="14" l="1"/>
  <c r="J458" i="14" l="1"/>
  <c r="J459" i="14" l="1"/>
  <c r="J460" i="14" l="1"/>
  <c r="J461" i="14" l="1"/>
  <c r="J462" i="14" l="1"/>
  <c r="J463" i="14" l="1"/>
  <c r="J464" i="14" l="1"/>
  <c r="J465" i="14" l="1"/>
  <c r="J466" i="14" l="1"/>
  <c r="J467" i="14" l="1"/>
  <c r="J468" i="14" l="1"/>
  <c r="J469" i="14" l="1"/>
  <c r="J470" i="14" l="1"/>
  <c r="J471" i="14" l="1"/>
  <c r="J472" i="14" l="1"/>
  <c r="J473" i="14" l="1"/>
  <c r="J474" i="14" l="1"/>
  <c r="J475" i="14" l="1"/>
  <c r="J476" i="14" l="1"/>
  <c r="J477" i="14" l="1"/>
  <c r="J478" i="14" l="1"/>
  <c r="J479" i="14" l="1"/>
  <c r="J480" i="14" l="1"/>
  <c r="J481" i="14" l="1"/>
  <c r="J482" i="14" l="1"/>
  <c r="J483" i="14" l="1"/>
  <c r="J484" i="14" l="1"/>
  <c r="J485" i="14" l="1"/>
  <c r="J486" i="14" l="1"/>
  <c r="J487" i="14" l="1"/>
  <c r="G489" i="14" l="1"/>
  <c r="J488" i="14"/>
  <c r="G490" i="14" l="1"/>
  <c r="J489" i="14"/>
  <c r="G491" i="14" l="1"/>
  <c r="J490" i="14"/>
  <c r="G492" i="14" l="1"/>
  <c r="J491" i="14"/>
  <c r="G493" i="14" l="1"/>
  <c r="J492" i="14"/>
  <c r="G494" i="14" l="1"/>
  <c r="J493" i="14"/>
  <c r="G495" i="14" l="1"/>
  <c r="J494" i="14"/>
  <c r="G496" i="14" l="1"/>
  <c r="J495" i="14"/>
  <c r="G497" i="14" l="1"/>
  <c r="J496" i="14"/>
  <c r="G498" i="14" l="1"/>
  <c r="J497" i="14"/>
  <c r="G499" i="14" l="1"/>
  <c r="J498" i="14"/>
  <c r="G500" i="14" l="1"/>
  <c r="J499" i="14"/>
  <c r="G501" i="14" l="1"/>
  <c r="J500" i="14"/>
  <c r="G502" i="14" l="1"/>
  <c r="J501" i="14"/>
  <c r="G503" i="14" l="1"/>
  <c r="J502" i="14"/>
  <c r="G504" i="14" l="1"/>
  <c r="J503" i="14"/>
  <c r="G505" i="14" l="1"/>
  <c r="J504" i="14"/>
  <c r="G506" i="14" l="1"/>
  <c r="J505" i="14"/>
  <c r="G507" i="14" l="1"/>
  <c r="J506" i="14"/>
  <c r="G508" i="14" l="1"/>
  <c r="J507" i="14"/>
  <c r="G509" i="14" l="1"/>
  <c r="J508" i="14"/>
  <c r="G510" i="14" l="1"/>
  <c r="J509" i="14"/>
  <c r="G511" i="14" l="1"/>
  <c r="J510" i="14"/>
  <c r="G512" i="14" l="1"/>
  <c r="J511" i="14"/>
  <c r="G513" i="14" l="1"/>
  <c r="J512" i="14"/>
  <c r="G514" i="14" l="1"/>
  <c r="J513" i="14"/>
  <c r="G515" i="14" l="1"/>
  <c r="J514" i="14"/>
  <c r="G516" i="14" l="1"/>
  <c r="J515" i="14"/>
  <c r="G517" i="14" l="1"/>
  <c r="J516" i="14"/>
  <c r="G518" i="14" l="1"/>
  <c r="J517" i="14"/>
  <c r="G519" i="14" l="1"/>
  <c r="J518" i="14"/>
  <c r="G520" i="14" l="1"/>
  <c r="J519" i="14"/>
  <c r="G521" i="14" l="1"/>
  <c r="J520" i="14"/>
  <c r="G522" i="14" l="1"/>
  <c r="J521" i="14"/>
  <c r="G523" i="14" l="1"/>
  <c r="J522" i="14"/>
  <c r="J523" i="14" l="1"/>
  <c r="B43" i="14"/>
  <c r="B42" i="14"/>
  <c r="B45" i="14"/>
  <c r="B46" i="14"/>
  <c r="B48" i="14"/>
  <c r="B47" i="14"/>
  <c r="B44" i="14"/>
  <c r="I335" i="14" l="1"/>
  <c r="O335" i="14"/>
  <c r="E335" i="14"/>
  <c r="H335" i="14" l="1"/>
  <c r="M335" i="14"/>
  <c r="L335" i="14"/>
  <c r="I336" i="14" l="1"/>
  <c r="O336" i="14"/>
  <c r="E336" i="14"/>
  <c r="H336" i="14" l="1"/>
  <c r="M336" i="14"/>
  <c r="L336" i="14"/>
  <c r="I337" i="14" l="1"/>
  <c r="L337" i="14" s="1"/>
  <c r="O337" i="14"/>
  <c r="E338" i="14"/>
  <c r="E337" i="14"/>
  <c r="M337" i="14" l="1"/>
  <c r="H337" i="14"/>
  <c r="I338" i="14"/>
  <c r="O338" i="14"/>
  <c r="H338" i="14"/>
  <c r="L338" i="14" l="1"/>
  <c r="O339" i="14"/>
  <c r="E339" i="14"/>
  <c r="I339" i="14"/>
  <c r="M339" i="14" s="1"/>
  <c r="M338" i="14"/>
  <c r="L339" i="14" l="1"/>
  <c r="H339" i="14"/>
  <c r="O340" i="14"/>
  <c r="E341" i="14"/>
  <c r="E340" i="14"/>
  <c r="I340" i="14"/>
  <c r="L340" i="14" s="1"/>
  <c r="H340" i="14" l="1"/>
  <c r="M340" i="14"/>
  <c r="I341" i="14"/>
  <c r="M341" i="14" s="1"/>
  <c r="O341" i="14"/>
  <c r="E342" i="14"/>
  <c r="H341" i="14"/>
  <c r="I342" i="14" l="1"/>
  <c r="L342" i="14" s="1"/>
  <c r="L341" i="14"/>
  <c r="E343" i="14"/>
  <c r="O342" i="14"/>
  <c r="H342" i="14"/>
  <c r="M342" i="14" l="1"/>
  <c r="I343" i="14"/>
  <c r="O344" i="14" s="1"/>
  <c r="O343" i="14"/>
  <c r="H343" i="14"/>
  <c r="M343" i="14" l="1"/>
  <c r="L343" i="14"/>
  <c r="I344" i="14"/>
  <c r="L344" i="14" s="1"/>
  <c r="E344" i="14"/>
  <c r="I345" i="14" l="1"/>
  <c r="M345" i="14" s="1"/>
  <c r="M344" i="14"/>
  <c r="O345" i="14"/>
  <c r="H344" i="14"/>
  <c r="E345" i="14"/>
  <c r="O346" i="14"/>
  <c r="E346" i="14"/>
  <c r="I346" i="14" l="1"/>
  <c r="L346" i="14" s="1"/>
  <c r="L345" i="14"/>
  <c r="H345" i="14"/>
  <c r="E347" i="14"/>
  <c r="O347" i="14"/>
  <c r="H346" i="14"/>
  <c r="M346" i="14"/>
  <c r="I347" i="14" l="1"/>
  <c r="M347" i="14" s="1"/>
  <c r="O348" i="14"/>
  <c r="E348" i="14"/>
  <c r="H347" i="14"/>
  <c r="I348" i="14" l="1"/>
  <c r="L347" i="14"/>
  <c r="O349" i="14"/>
  <c r="E349" i="14"/>
  <c r="H348" i="14"/>
  <c r="M348" i="14"/>
  <c r="L348" i="14"/>
  <c r="I349" i="14"/>
  <c r="E350" i="14" l="1"/>
  <c r="O350" i="14"/>
  <c r="H349" i="14"/>
  <c r="M349" i="14"/>
  <c r="L349" i="14"/>
  <c r="I350" i="14"/>
  <c r="E351" i="14" l="1"/>
  <c r="O351" i="14"/>
  <c r="H350" i="14"/>
  <c r="L350" i="14"/>
  <c r="M350" i="14"/>
  <c r="I351" i="14"/>
  <c r="H351" i="14" l="1"/>
  <c r="O352" i="14"/>
  <c r="E352" i="14"/>
  <c r="L351" i="14"/>
  <c r="M351" i="14"/>
  <c r="I352" i="14"/>
  <c r="O353" i="14" l="1"/>
  <c r="E353" i="14"/>
  <c r="H352" i="14"/>
  <c r="L352" i="14"/>
  <c r="M352" i="14"/>
  <c r="I353" i="14"/>
  <c r="O354" i="14" l="1"/>
  <c r="E354" i="14"/>
  <c r="H353" i="14"/>
  <c r="L353" i="14"/>
  <c r="M353" i="14"/>
  <c r="I354" i="14"/>
  <c r="O355" i="14" l="1"/>
  <c r="E355" i="14"/>
  <c r="H354" i="14"/>
  <c r="M354" i="14"/>
  <c r="L354" i="14"/>
  <c r="I355" i="14"/>
  <c r="E356" i="14" l="1"/>
  <c r="O356" i="14"/>
  <c r="H355" i="14"/>
  <c r="L355" i="14"/>
  <c r="M355" i="14"/>
  <c r="I356" i="14"/>
  <c r="E357" i="14" l="1"/>
  <c r="O357" i="14"/>
  <c r="H356" i="14"/>
  <c r="M356" i="14"/>
  <c r="L356" i="14"/>
  <c r="I357" i="14"/>
  <c r="H357" i="14" l="1"/>
  <c r="O358" i="14"/>
  <c r="E358" i="14"/>
  <c r="M357" i="14"/>
  <c r="L357" i="14"/>
  <c r="I358" i="14"/>
  <c r="E359" i="14" l="1"/>
  <c r="O359" i="14"/>
  <c r="H358" i="14"/>
  <c r="L358" i="14"/>
  <c r="M358" i="14"/>
  <c r="I359" i="14"/>
  <c r="O360" i="14" l="1"/>
  <c r="E360" i="14"/>
  <c r="H359" i="14"/>
  <c r="M359" i="14"/>
  <c r="L359" i="14"/>
  <c r="I360" i="14"/>
  <c r="E361" i="14" l="1"/>
  <c r="O361" i="14"/>
  <c r="H360" i="14"/>
  <c r="L360" i="14"/>
  <c r="M360" i="14"/>
  <c r="I361" i="14"/>
  <c r="O362" i="14" l="1"/>
  <c r="E362" i="14"/>
  <c r="H361" i="14"/>
  <c r="I362" i="14"/>
  <c r="L361" i="14"/>
  <c r="M361" i="14"/>
  <c r="O363" i="14" l="1"/>
  <c r="E363" i="14"/>
  <c r="H362" i="14"/>
  <c r="M362" i="14"/>
  <c r="L362" i="14"/>
  <c r="I363" i="14"/>
  <c r="E364" i="14" l="1"/>
  <c r="O364" i="14"/>
  <c r="H363" i="14"/>
  <c r="L363" i="14"/>
  <c r="M363" i="14"/>
  <c r="I364" i="14"/>
  <c r="H364" i="14" l="1"/>
  <c r="E365" i="14"/>
  <c r="O365" i="14"/>
  <c r="M364" i="14"/>
  <c r="L364" i="14"/>
  <c r="I365" i="14"/>
  <c r="O366" i="14" l="1"/>
  <c r="E366" i="14"/>
  <c r="H365" i="14"/>
  <c r="L365" i="14"/>
  <c r="M365" i="14"/>
  <c r="I366" i="14"/>
  <c r="E367" i="14" l="1"/>
  <c r="O367" i="14"/>
  <c r="H366" i="14"/>
  <c r="L366" i="14"/>
  <c r="M366" i="14"/>
  <c r="I367" i="14"/>
  <c r="E368" i="14" l="1"/>
  <c r="O368" i="14"/>
  <c r="H367" i="14"/>
  <c r="M367" i="14"/>
  <c r="L367" i="14"/>
  <c r="I368" i="14"/>
  <c r="O369" i="14" l="1"/>
  <c r="E369" i="14"/>
  <c r="H368" i="14"/>
  <c r="M368" i="14"/>
  <c r="L368" i="14"/>
  <c r="I369" i="14"/>
  <c r="O370" i="14" l="1"/>
  <c r="E370" i="14"/>
  <c r="H369" i="14"/>
  <c r="M369" i="14"/>
  <c r="L369" i="14"/>
  <c r="I370" i="14"/>
  <c r="O371" i="14" l="1"/>
  <c r="E371" i="14"/>
  <c r="H370" i="14"/>
  <c r="L370" i="14"/>
  <c r="M370" i="14"/>
  <c r="I371" i="14"/>
  <c r="E372" i="14" l="1"/>
  <c r="O372" i="14"/>
  <c r="H371" i="14"/>
  <c r="M371" i="14"/>
  <c r="L371" i="14"/>
  <c r="I372" i="14"/>
  <c r="H372" i="14" l="1"/>
  <c r="E373" i="14"/>
  <c r="O373" i="14"/>
  <c r="M372" i="14"/>
  <c r="L372" i="14"/>
  <c r="I373" i="14"/>
  <c r="O374" i="14" l="1"/>
  <c r="E374" i="14"/>
  <c r="H373" i="14"/>
  <c r="I374" i="14"/>
  <c r="M373" i="14"/>
  <c r="L373" i="14"/>
  <c r="H374" i="14" l="1"/>
  <c r="E375" i="14"/>
  <c r="O375" i="14"/>
  <c r="L374" i="14"/>
  <c r="M374" i="14"/>
  <c r="I375" i="14"/>
  <c r="O376" i="14" l="1"/>
  <c r="E376" i="14"/>
  <c r="H375" i="14"/>
  <c r="M375" i="14"/>
  <c r="L375" i="14"/>
  <c r="I376" i="14"/>
  <c r="O377" i="14" l="1"/>
  <c r="E377" i="14"/>
  <c r="H376" i="14"/>
  <c r="M376" i="14"/>
  <c r="L376" i="14"/>
  <c r="I377" i="14"/>
  <c r="E378" i="14" l="1"/>
  <c r="O378" i="14"/>
  <c r="H377" i="14"/>
  <c r="I378" i="14"/>
  <c r="L377" i="14"/>
  <c r="M377" i="14"/>
  <c r="O379" i="14" l="1"/>
  <c r="E379" i="14"/>
  <c r="H378" i="14"/>
  <c r="L378" i="14"/>
  <c r="M378" i="14"/>
  <c r="I379" i="14"/>
  <c r="O380" i="14" l="1"/>
  <c r="E380" i="14"/>
  <c r="H379" i="14"/>
  <c r="L379" i="14"/>
  <c r="M379" i="14"/>
  <c r="I380" i="14"/>
  <c r="E381" i="14" l="1"/>
  <c r="O381" i="14"/>
  <c r="H380" i="14"/>
  <c r="L380" i="14"/>
  <c r="M380" i="14"/>
  <c r="I381" i="14"/>
  <c r="O382" i="14" l="1"/>
  <c r="E382" i="14"/>
  <c r="H381" i="14"/>
  <c r="M381" i="14"/>
  <c r="L381" i="14"/>
  <c r="I382" i="14"/>
  <c r="E383" i="14" l="1"/>
  <c r="O383" i="14"/>
  <c r="H382" i="14"/>
  <c r="L382" i="14"/>
  <c r="M382" i="14"/>
  <c r="I383" i="14"/>
  <c r="O384" i="14" l="1"/>
  <c r="E384" i="14"/>
  <c r="H383" i="14"/>
  <c r="M383" i="14"/>
  <c r="L383" i="14"/>
  <c r="I384" i="14"/>
  <c r="E385" i="14" l="1"/>
  <c r="O385" i="14"/>
  <c r="H384" i="14"/>
  <c r="M384" i="14"/>
  <c r="L384" i="14"/>
  <c r="I385" i="14"/>
  <c r="E386" i="14" l="1"/>
  <c r="O386" i="14"/>
  <c r="H385" i="14"/>
  <c r="L385" i="14"/>
  <c r="M385" i="14"/>
  <c r="I386" i="14"/>
  <c r="O387" i="14" l="1"/>
  <c r="E387" i="14"/>
  <c r="H386" i="14"/>
  <c r="M386" i="14"/>
  <c r="L386" i="14"/>
  <c r="I387" i="14"/>
  <c r="O388" i="14" l="1"/>
  <c r="E388" i="14"/>
  <c r="H387" i="14"/>
  <c r="M387" i="14"/>
  <c r="L387" i="14"/>
  <c r="I388" i="14"/>
  <c r="O389" i="14" l="1"/>
  <c r="E389" i="14"/>
  <c r="H388" i="14"/>
  <c r="M388" i="14"/>
  <c r="L388" i="14"/>
  <c r="I389" i="14"/>
  <c r="E390" i="14" l="1"/>
  <c r="O390" i="14"/>
  <c r="H389" i="14"/>
  <c r="M389" i="14"/>
  <c r="L389" i="14"/>
  <c r="I390" i="14"/>
  <c r="E391" i="14" l="1"/>
  <c r="O391" i="14"/>
  <c r="H390" i="14"/>
  <c r="M390" i="14"/>
  <c r="L390" i="14"/>
  <c r="I391" i="14"/>
  <c r="O392" i="14" l="1"/>
  <c r="E392" i="14"/>
  <c r="H391" i="14"/>
  <c r="M391" i="14"/>
  <c r="L391" i="14"/>
  <c r="I392" i="14"/>
  <c r="O393" i="14" l="1"/>
  <c r="E393" i="14"/>
  <c r="H392" i="14"/>
  <c r="M392" i="14"/>
  <c r="L392" i="14"/>
  <c r="I393" i="14"/>
  <c r="E394" i="14" l="1"/>
  <c r="O394" i="14"/>
  <c r="H393" i="14"/>
  <c r="M393" i="14"/>
  <c r="I394" i="14"/>
  <c r="L393" i="14"/>
  <c r="E395" i="14" l="1"/>
  <c r="O395" i="14"/>
  <c r="H394" i="14"/>
  <c r="L394" i="14"/>
  <c r="M394" i="14"/>
  <c r="I395" i="14"/>
  <c r="E396" i="14" l="1"/>
  <c r="O396" i="14"/>
  <c r="H395" i="14"/>
  <c r="L395" i="14"/>
  <c r="M395" i="14"/>
  <c r="I396" i="14"/>
  <c r="O397" i="14" l="1"/>
  <c r="E397" i="14"/>
  <c r="H396" i="14"/>
  <c r="M396" i="14"/>
  <c r="L396" i="14"/>
  <c r="I397" i="14"/>
  <c r="O398" i="14" l="1"/>
  <c r="E398" i="14"/>
  <c r="H397" i="14"/>
  <c r="M397" i="14"/>
  <c r="L397" i="14"/>
  <c r="I398" i="14"/>
  <c r="E399" i="14" l="1"/>
  <c r="O399" i="14"/>
  <c r="H398" i="14"/>
  <c r="M398" i="14"/>
  <c r="L398" i="14"/>
  <c r="I399" i="14"/>
  <c r="E400" i="14" l="1"/>
  <c r="O400" i="14"/>
  <c r="H399" i="14"/>
  <c r="M399" i="14"/>
  <c r="L399" i="14"/>
  <c r="I400" i="14"/>
  <c r="E401" i="14" l="1"/>
  <c r="O401" i="14"/>
  <c r="H400" i="14"/>
  <c r="L400" i="14"/>
  <c r="M400" i="14"/>
  <c r="I401" i="14"/>
  <c r="E402" i="14" l="1"/>
  <c r="O402" i="14"/>
  <c r="H401" i="14"/>
  <c r="L401" i="14"/>
  <c r="M401" i="14"/>
  <c r="I402" i="14"/>
  <c r="O403" i="14" l="1"/>
  <c r="E403" i="14"/>
  <c r="H402" i="14"/>
  <c r="L402" i="14"/>
  <c r="M402" i="14"/>
  <c r="I403" i="14"/>
  <c r="O404" i="14" l="1"/>
  <c r="E404" i="14"/>
  <c r="H403" i="14"/>
  <c r="M403" i="14"/>
  <c r="L403" i="14"/>
  <c r="I404" i="14"/>
  <c r="E405" i="14" l="1"/>
  <c r="O405" i="14"/>
  <c r="H404" i="14"/>
  <c r="M404" i="14"/>
  <c r="L404" i="14"/>
  <c r="I405" i="14"/>
  <c r="E406" i="14" l="1"/>
  <c r="O406" i="14"/>
  <c r="H405" i="14"/>
  <c r="L405" i="14"/>
  <c r="M405" i="14"/>
  <c r="I406" i="14"/>
  <c r="O407" i="14" l="1"/>
  <c r="E407" i="14"/>
  <c r="H406" i="14"/>
  <c r="L406" i="14"/>
  <c r="M406" i="14"/>
  <c r="I407" i="14"/>
  <c r="O408" i="14" l="1"/>
  <c r="E408" i="14"/>
  <c r="H407" i="14"/>
  <c r="M407" i="14"/>
  <c r="L407" i="14"/>
  <c r="I408" i="14"/>
  <c r="O409" i="14" l="1"/>
  <c r="E409" i="14"/>
  <c r="H408" i="14"/>
  <c r="M408" i="14"/>
  <c r="L408" i="14"/>
  <c r="I409" i="14"/>
  <c r="O410" i="14" l="1"/>
  <c r="E410" i="14"/>
  <c r="H409" i="14"/>
  <c r="L409" i="14"/>
  <c r="M409" i="14"/>
  <c r="I410" i="14"/>
  <c r="E411" i="14" l="1"/>
  <c r="O411" i="14"/>
  <c r="H410" i="14"/>
  <c r="M410" i="14"/>
  <c r="L410" i="14"/>
  <c r="I411" i="14"/>
  <c r="O412" i="14" l="1"/>
  <c r="E412" i="14"/>
  <c r="H411" i="14"/>
  <c r="L411" i="14"/>
  <c r="M411" i="14"/>
  <c r="I412" i="14"/>
  <c r="O413" i="14" l="1"/>
  <c r="E413" i="14"/>
  <c r="H412" i="14"/>
  <c r="L412" i="14"/>
  <c r="M412" i="14"/>
  <c r="I413" i="14"/>
  <c r="E414" i="14" l="1"/>
  <c r="O414" i="14"/>
  <c r="H413" i="14"/>
  <c r="L413" i="14"/>
  <c r="M413" i="14"/>
  <c r="I414" i="14"/>
  <c r="O415" i="14" l="1"/>
  <c r="E415" i="14"/>
  <c r="H414" i="14"/>
  <c r="L414" i="14"/>
  <c r="M414" i="14"/>
  <c r="I415" i="14"/>
  <c r="E416" i="14" l="1"/>
  <c r="O416" i="14"/>
  <c r="H415" i="14"/>
  <c r="L415" i="14"/>
  <c r="M415" i="14"/>
  <c r="I416" i="14"/>
  <c r="O417" i="14" l="1"/>
  <c r="E417" i="14"/>
  <c r="H416" i="14"/>
  <c r="L416" i="14"/>
  <c r="M416" i="14"/>
  <c r="I417" i="14"/>
  <c r="O418" i="14" l="1"/>
  <c r="H417" i="14"/>
  <c r="L417" i="14"/>
  <c r="M417" i="14"/>
  <c r="I418" i="14" l="1"/>
  <c r="M418" i="14" s="1"/>
  <c r="E418" i="14"/>
  <c r="L418" i="14" l="1"/>
  <c r="O419" i="14"/>
  <c r="I419" i="14"/>
  <c r="I420" i="14" s="1"/>
  <c r="H418" i="14"/>
  <c r="E419" i="14"/>
  <c r="L419" i="14" l="1"/>
  <c r="M419" i="14"/>
  <c r="H419" i="14"/>
  <c r="O420" i="14"/>
  <c r="E420" i="14"/>
  <c r="E421" i="14"/>
  <c r="O421" i="14"/>
  <c r="M420" i="14"/>
  <c r="L420" i="14"/>
  <c r="I421" i="14"/>
  <c r="H420" i="14" l="1"/>
  <c r="H421" i="14"/>
  <c r="E422" i="14"/>
  <c r="O422" i="14"/>
  <c r="L421" i="14"/>
  <c r="M421" i="14"/>
  <c r="I422" i="14"/>
  <c r="O423" i="14" l="1"/>
  <c r="E423" i="14"/>
  <c r="H422" i="14"/>
  <c r="M422" i="14"/>
  <c r="L422" i="14"/>
  <c r="I423" i="14"/>
  <c r="O424" i="14" l="1"/>
  <c r="E424" i="14"/>
  <c r="H423" i="14"/>
  <c r="M423" i="14"/>
  <c r="L423" i="14"/>
  <c r="I424" i="14"/>
  <c r="E425" i="14" l="1"/>
  <c r="O425" i="14"/>
  <c r="H424" i="14"/>
  <c r="M424" i="14"/>
  <c r="L424" i="14"/>
  <c r="I425" i="14"/>
  <c r="H425" i="14" l="1"/>
  <c r="O426" i="14"/>
  <c r="E426" i="14"/>
  <c r="M425" i="14"/>
  <c r="L425" i="14"/>
  <c r="I426" i="14"/>
  <c r="O427" i="14" l="1"/>
  <c r="E427" i="14"/>
  <c r="H426" i="14"/>
  <c r="M426" i="14"/>
  <c r="I427" i="14"/>
  <c r="L426" i="14"/>
  <c r="H427" i="14" l="1"/>
  <c r="O428" i="14"/>
  <c r="E428" i="14"/>
  <c r="M427" i="14"/>
  <c r="L427" i="14"/>
  <c r="I428" i="14"/>
  <c r="O429" i="14" l="1"/>
  <c r="E429" i="14"/>
  <c r="H428" i="14"/>
  <c r="L428" i="14"/>
  <c r="M428" i="14"/>
  <c r="I429" i="14"/>
  <c r="E430" i="14" l="1"/>
  <c r="O430" i="14"/>
  <c r="H429" i="14"/>
  <c r="L429" i="14"/>
  <c r="M429" i="14"/>
  <c r="I430" i="14"/>
  <c r="E431" i="14" l="1"/>
  <c r="O431" i="14"/>
  <c r="H430" i="14"/>
  <c r="L430" i="14"/>
  <c r="M430" i="14"/>
  <c r="I431" i="14"/>
  <c r="O432" i="14" l="1"/>
  <c r="E432" i="14"/>
  <c r="H431" i="14"/>
  <c r="M431" i="14"/>
  <c r="L431" i="14"/>
  <c r="I432" i="14"/>
  <c r="E10" i="8" l="1"/>
  <c r="H432" i="14"/>
  <c r="O433" i="14"/>
  <c r="E433" i="14"/>
  <c r="D10" i="8" s="1"/>
  <c r="H10" i="8" s="1"/>
  <c r="M432" i="14"/>
  <c r="L432" i="14"/>
  <c r="I433" i="14"/>
  <c r="I10" i="8" l="1"/>
  <c r="D11" i="8"/>
  <c r="K10" i="8"/>
  <c r="J10" i="8"/>
  <c r="R10" i="8"/>
  <c r="P10" i="8"/>
  <c r="Q10" i="8"/>
  <c r="O10" i="8"/>
  <c r="E434" i="14"/>
  <c r="E11" i="8" s="1"/>
  <c r="O434" i="14"/>
  <c r="H433" i="14"/>
  <c r="L433" i="14"/>
  <c r="M433" i="14"/>
  <c r="I434" i="14"/>
  <c r="H11" i="8" l="1"/>
  <c r="I11" i="8"/>
  <c r="E435" i="14"/>
  <c r="D12" i="8" s="1"/>
  <c r="H12" i="8" s="1"/>
  <c r="O435" i="14"/>
  <c r="H434" i="14"/>
  <c r="M434" i="14"/>
  <c r="L434" i="14"/>
  <c r="I435" i="14"/>
  <c r="I12" i="8" l="1"/>
  <c r="E12" i="8"/>
  <c r="J11" i="8"/>
  <c r="K11" i="8"/>
  <c r="P11" i="8"/>
  <c r="R11" i="8"/>
  <c r="Q11" i="8"/>
  <c r="O11" i="8"/>
  <c r="R12" i="8"/>
  <c r="J12" i="8"/>
  <c r="K12" i="8"/>
  <c r="P12" i="8"/>
  <c r="D13" i="8"/>
  <c r="Q12" i="8"/>
  <c r="O12" i="8"/>
  <c r="H435" i="14"/>
  <c r="O436" i="14"/>
  <c r="E436" i="14"/>
  <c r="M435" i="14"/>
  <c r="L435" i="14"/>
  <c r="I436" i="14"/>
  <c r="E13" i="8" l="1"/>
  <c r="H13" i="8"/>
  <c r="I13" i="8"/>
  <c r="E437" i="14"/>
  <c r="O437" i="14"/>
  <c r="H436" i="14"/>
  <c r="L436" i="14"/>
  <c r="M436" i="14"/>
  <c r="I437" i="14"/>
  <c r="E14" i="8" l="1"/>
  <c r="O13" i="8"/>
  <c r="Q13" i="8"/>
  <c r="K13" i="8"/>
  <c r="P13" i="8"/>
  <c r="R13" i="8"/>
  <c r="J13" i="8"/>
  <c r="O438" i="14"/>
  <c r="E438" i="14"/>
  <c r="H437" i="14"/>
  <c r="M437" i="14"/>
  <c r="L437" i="14"/>
  <c r="I438" i="14"/>
  <c r="E16" i="8" l="1"/>
  <c r="E15" i="8"/>
  <c r="O439" i="14"/>
  <c r="E439" i="14"/>
  <c r="H438" i="14"/>
  <c r="M438" i="14"/>
  <c r="L438" i="14"/>
  <c r="I439" i="14"/>
  <c r="E17" i="8" l="1"/>
  <c r="O440" i="14"/>
  <c r="E440" i="14"/>
  <c r="H439" i="14"/>
  <c r="L439" i="14"/>
  <c r="M439" i="14"/>
  <c r="I440" i="14"/>
  <c r="E18" i="8" l="1"/>
  <c r="H440" i="14"/>
  <c r="O441" i="14"/>
  <c r="E441" i="14"/>
  <c r="L440" i="14"/>
  <c r="M440" i="14"/>
  <c r="I441" i="14"/>
  <c r="E19" i="8" l="1"/>
  <c r="H441" i="14"/>
  <c r="E442" i="14"/>
  <c r="O442" i="14"/>
  <c r="L441" i="14"/>
  <c r="M441" i="14"/>
  <c r="I442" i="14"/>
  <c r="E20" i="8" l="1"/>
  <c r="H442" i="14"/>
  <c r="O443" i="14"/>
  <c r="E443" i="14"/>
  <c r="M442" i="14"/>
  <c r="L442" i="14"/>
  <c r="I443" i="14"/>
  <c r="E21" i="8" l="1"/>
  <c r="H443" i="14"/>
  <c r="E444" i="14"/>
  <c r="O444" i="14"/>
  <c r="M443" i="14"/>
  <c r="L443" i="14"/>
  <c r="I444" i="14"/>
  <c r="E22" i="8" l="1"/>
  <c r="H444" i="14"/>
  <c r="O445" i="14"/>
  <c r="E445" i="14"/>
  <c r="L444" i="14"/>
  <c r="M444" i="14"/>
  <c r="I445" i="14"/>
  <c r="E23" i="8" l="1"/>
  <c r="H445" i="14"/>
  <c r="E446" i="14"/>
  <c r="O446" i="14"/>
  <c r="M445" i="14"/>
  <c r="L445" i="14"/>
  <c r="I446" i="14"/>
  <c r="E24" i="8" l="1"/>
  <c r="H446" i="14"/>
  <c r="O447" i="14"/>
  <c r="E447" i="14"/>
  <c r="L446" i="14"/>
  <c r="M446" i="14"/>
  <c r="I447" i="14"/>
  <c r="E25" i="8" l="1"/>
  <c r="H447" i="14"/>
  <c r="O448" i="14"/>
  <c r="E448" i="14"/>
  <c r="L447" i="14"/>
  <c r="M447" i="14"/>
  <c r="I448" i="14"/>
  <c r="E26" i="8" l="1"/>
  <c r="H448" i="14"/>
  <c r="O449" i="14"/>
  <c r="E449" i="14"/>
  <c r="M448" i="14"/>
  <c r="L448" i="14"/>
  <c r="I449" i="14"/>
  <c r="E27" i="8" l="1"/>
  <c r="H449" i="14"/>
  <c r="O450" i="14"/>
  <c r="E450" i="14"/>
  <c r="M449" i="14"/>
  <c r="L449" i="14"/>
  <c r="I450" i="14"/>
  <c r="E28" i="8" l="1"/>
  <c r="H450" i="14"/>
  <c r="E451" i="14"/>
  <c r="O451" i="14"/>
  <c r="L450" i="14"/>
  <c r="M450" i="14"/>
  <c r="I451" i="14"/>
  <c r="E29" i="8" l="1"/>
  <c r="H451" i="14"/>
  <c r="E452" i="14"/>
  <c r="O452" i="14"/>
  <c r="L451" i="14"/>
  <c r="M451" i="14"/>
  <c r="I452" i="14"/>
  <c r="E30" i="8" l="1"/>
  <c r="H452" i="14"/>
  <c r="O453" i="14"/>
  <c r="E453" i="14"/>
  <c r="M452" i="14"/>
  <c r="L452" i="14"/>
  <c r="I453" i="14"/>
  <c r="E31" i="8" l="1"/>
  <c r="H453" i="14"/>
  <c r="E454" i="14"/>
  <c r="O454" i="14"/>
  <c r="M453" i="14"/>
  <c r="I454" i="14"/>
  <c r="L453" i="14"/>
  <c r="E32" i="8" l="1"/>
  <c r="H454" i="14"/>
  <c r="E455" i="14"/>
  <c r="O455" i="14"/>
  <c r="L454" i="14"/>
  <c r="M454" i="14"/>
  <c r="I455" i="14"/>
  <c r="E33" i="8" l="1"/>
  <c r="H455" i="14"/>
  <c r="O456" i="14"/>
  <c r="E456" i="14"/>
  <c r="L455" i="14"/>
  <c r="M455" i="14"/>
  <c r="I456" i="14"/>
  <c r="E34" i="8" l="1"/>
  <c r="H456" i="14"/>
  <c r="O457" i="14"/>
  <c r="E457" i="14"/>
  <c r="L456" i="14"/>
  <c r="M456" i="14"/>
  <c r="I457" i="14"/>
  <c r="E35" i="8" l="1"/>
  <c r="H457" i="14"/>
  <c r="O458" i="14"/>
  <c r="E458" i="14"/>
  <c r="L457" i="14"/>
  <c r="M457" i="14"/>
  <c r="I458" i="14"/>
  <c r="E36" i="8" l="1"/>
  <c r="H458" i="14"/>
  <c r="O459" i="14"/>
  <c r="E459" i="14"/>
  <c r="M458" i="14"/>
  <c r="L458" i="14"/>
  <c r="I459" i="14"/>
  <c r="E37" i="8" l="1"/>
  <c r="H459" i="14"/>
  <c r="O460" i="14"/>
  <c r="E460" i="14"/>
  <c r="M459" i="14"/>
  <c r="L459" i="14"/>
  <c r="I460" i="14"/>
  <c r="E38" i="8" l="1"/>
  <c r="H460" i="14"/>
  <c r="E461" i="14"/>
  <c r="O461" i="14"/>
  <c r="L460" i="14"/>
  <c r="M460" i="14"/>
  <c r="I461" i="14"/>
  <c r="E39" i="8" l="1"/>
  <c r="H461" i="14"/>
  <c r="O462" i="14"/>
  <c r="E462" i="14"/>
  <c r="M461" i="14"/>
  <c r="L461" i="14"/>
  <c r="I462" i="14"/>
  <c r="E40" i="8" l="1"/>
  <c r="H462" i="14"/>
  <c r="O463" i="14"/>
  <c r="E463" i="14"/>
  <c r="L462" i="14"/>
  <c r="M462" i="14"/>
  <c r="I463" i="14"/>
  <c r="E41" i="8" l="1"/>
  <c r="H463" i="14"/>
  <c r="O464" i="14"/>
  <c r="E464" i="14"/>
  <c r="L463" i="14"/>
  <c r="M463" i="14"/>
  <c r="I464" i="14"/>
  <c r="E42" i="8" l="1"/>
  <c r="H464" i="14"/>
  <c r="O465" i="14"/>
  <c r="E465" i="14"/>
  <c r="M464" i="14"/>
  <c r="L464" i="14"/>
  <c r="I465" i="14"/>
  <c r="E43" i="8" l="1"/>
  <c r="H465" i="14"/>
  <c r="O466" i="14"/>
  <c r="E466" i="14"/>
  <c r="M465" i="14"/>
  <c r="L465" i="14"/>
  <c r="I466" i="14"/>
  <c r="E44" i="8" l="1"/>
  <c r="H466" i="14"/>
  <c r="O467" i="14"/>
  <c r="E467" i="14"/>
  <c r="L466" i="14"/>
  <c r="M466" i="14"/>
  <c r="I467" i="14"/>
  <c r="E45" i="8" l="1"/>
  <c r="H467" i="14"/>
  <c r="O468" i="14"/>
  <c r="E468" i="14"/>
  <c r="M467" i="14"/>
  <c r="L467" i="14"/>
  <c r="I468" i="14"/>
  <c r="E46" i="8" l="1"/>
  <c r="H468" i="14"/>
  <c r="O469" i="14"/>
  <c r="E469" i="14"/>
  <c r="L468" i="14"/>
  <c r="M468" i="14"/>
  <c r="I469" i="14"/>
  <c r="E47" i="8" l="1"/>
  <c r="H469" i="14"/>
  <c r="E470" i="14"/>
  <c r="O470" i="14"/>
  <c r="M469" i="14"/>
  <c r="L469" i="14"/>
  <c r="I470" i="14"/>
  <c r="E48" i="8" l="1"/>
  <c r="H470" i="14"/>
  <c r="O471" i="14"/>
  <c r="E471" i="14"/>
  <c r="L470" i="14"/>
  <c r="M470" i="14"/>
  <c r="I471" i="14"/>
  <c r="E49" i="8" l="1"/>
  <c r="H471" i="14"/>
  <c r="O472" i="14"/>
  <c r="E472" i="14"/>
  <c r="I472" i="14"/>
  <c r="L471" i="14"/>
  <c r="M471" i="14"/>
  <c r="E50" i="8" l="1"/>
  <c r="H472" i="14"/>
  <c r="E473" i="14"/>
  <c r="O473" i="14"/>
  <c r="M472" i="14"/>
  <c r="L472" i="14"/>
  <c r="I473" i="14"/>
  <c r="E51" i="8" l="1"/>
  <c r="H473" i="14"/>
  <c r="O474" i="14"/>
  <c r="E474" i="14"/>
  <c r="M473" i="14"/>
  <c r="L473" i="14"/>
  <c r="I474" i="14"/>
  <c r="E52" i="8" l="1"/>
  <c r="H474" i="14"/>
  <c r="E475" i="14"/>
  <c r="O475" i="14"/>
  <c r="M474" i="14"/>
  <c r="L474" i="14"/>
  <c r="I475" i="14"/>
  <c r="E53" i="8" l="1"/>
  <c r="H475" i="14"/>
  <c r="O476" i="14"/>
  <c r="E476" i="14"/>
  <c r="I476" i="14"/>
  <c r="L475" i="14"/>
  <c r="M475" i="14"/>
  <c r="E54" i="8" l="1"/>
  <c r="H476" i="14"/>
  <c r="O477" i="14"/>
  <c r="E477" i="14"/>
  <c r="M476" i="14"/>
  <c r="L476" i="14"/>
  <c r="I477" i="14"/>
  <c r="E55" i="8" l="1"/>
  <c r="H477" i="14"/>
  <c r="O478" i="14"/>
  <c r="E478" i="14"/>
  <c r="M477" i="14"/>
  <c r="L477" i="14"/>
  <c r="I478" i="14"/>
  <c r="E56" i="8" l="1"/>
  <c r="H478" i="14"/>
  <c r="O479" i="14"/>
  <c r="E479" i="14"/>
  <c r="L478" i="14"/>
  <c r="M478" i="14"/>
  <c r="I479" i="14"/>
  <c r="E57" i="8" l="1"/>
  <c r="H479" i="14"/>
  <c r="E480" i="14"/>
  <c r="O480" i="14"/>
  <c r="L479" i="14"/>
  <c r="I480" i="14"/>
  <c r="M479" i="14"/>
  <c r="E58" i="8" l="1"/>
  <c r="H480" i="14"/>
  <c r="O481" i="14"/>
  <c r="E481" i="14"/>
  <c r="M480" i="14"/>
  <c r="L480" i="14"/>
  <c r="I481" i="14"/>
  <c r="E59" i="8" l="1"/>
  <c r="H481" i="14"/>
  <c r="E482" i="14"/>
  <c r="O482" i="14"/>
  <c r="M481" i="14"/>
  <c r="L481" i="14"/>
  <c r="I482" i="14"/>
  <c r="E60" i="8" l="1"/>
  <c r="H482" i="14"/>
  <c r="O483" i="14"/>
  <c r="E483" i="14"/>
  <c r="L482" i="14"/>
  <c r="M482" i="14"/>
  <c r="I483" i="14"/>
  <c r="B27" i="14" s="1"/>
  <c r="E61" i="8" l="1"/>
  <c r="H483" i="14"/>
  <c r="O484" i="14"/>
  <c r="E484" i="14"/>
  <c r="M483" i="14"/>
  <c r="I484" i="14"/>
  <c r="L483" i="14"/>
  <c r="E62" i="8" l="1"/>
  <c r="H484" i="14"/>
  <c r="O485" i="14"/>
  <c r="E485" i="14"/>
  <c r="L484" i="14"/>
  <c r="M484" i="14"/>
  <c r="I485" i="14"/>
  <c r="E63" i="8" l="1"/>
  <c r="H485" i="14"/>
  <c r="E486" i="14"/>
  <c r="O486" i="14"/>
  <c r="M485" i="14"/>
  <c r="L485" i="14"/>
  <c r="I486" i="14"/>
  <c r="E64" i="8" l="1"/>
  <c r="H486" i="14"/>
  <c r="O487" i="14"/>
  <c r="E487" i="14"/>
  <c r="L486" i="14"/>
  <c r="M486" i="14"/>
  <c r="I487" i="14"/>
  <c r="B23" i="14" l="1"/>
  <c r="B28" i="14"/>
  <c r="B29" i="14" s="1"/>
  <c r="H15" i="17" s="1"/>
  <c r="E65" i="8"/>
  <c r="H487" i="14"/>
  <c r="O488" i="14"/>
  <c r="E488" i="14"/>
  <c r="L487" i="14"/>
  <c r="I488" i="14"/>
  <c r="F489" i="14" s="1"/>
  <c r="M487" i="14"/>
  <c r="H488" i="14" l="1"/>
  <c r="O489" i="14"/>
  <c r="E489" i="14"/>
  <c r="M488" i="14"/>
  <c r="L488" i="14"/>
  <c r="I489" i="14"/>
  <c r="F490" i="14" s="1"/>
  <c r="E66" i="8" l="1"/>
  <c r="H489" i="14"/>
  <c r="O490" i="14"/>
  <c r="E490" i="14"/>
  <c r="M489" i="14"/>
  <c r="L489" i="14"/>
  <c r="I490" i="14"/>
  <c r="F491" i="14" s="1"/>
  <c r="E67" i="8" l="1"/>
  <c r="H490" i="14"/>
  <c r="O491" i="14"/>
  <c r="E491" i="14"/>
  <c r="M490" i="14"/>
  <c r="L490" i="14"/>
  <c r="I491" i="14"/>
  <c r="F492" i="14" s="1"/>
  <c r="E68" i="8" l="1"/>
  <c r="H491" i="14"/>
  <c r="O492" i="14"/>
  <c r="E492" i="14"/>
  <c r="L491" i="14"/>
  <c r="I492" i="14"/>
  <c r="F493" i="14" s="1"/>
  <c r="M491" i="14"/>
  <c r="E69" i="8" l="1"/>
  <c r="H492" i="14"/>
  <c r="O493" i="14"/>
  <c r="E493" i="14"/>
  <c r="E70" i="8" s="1"/>
  <c r="M492" i="14"/>
  <c r="L492" i="14"/>
  <c r="I493" i="14"/>
  <c r="F494" i="14" s="1"/>
  <c r="H493" i="14" l="1"/>
  <c r="O494" i="14"/>
  <c r="E494" i="14"/>
  <c r="L493" i="14"/>
  <c r="M493" i="14"/>
  <c r="I494" i="14"/>
  <c r="F495" i="14" s="1"/>
  <c r="E71" i="8" l="1"/>
  <c r="H494" i="14"/>
  <c r="O495" i="14"/>
  <c r="E495" i="14"/>
  <c r="L494" i="14"/>
  <c r="M494" i="14"/>
  <c r="I495" i="14"/>
  <c r="F496" i="14" s="1"/>
  <c r="E72" i="8" l="1"/>
  <c r="H495" i="14"/>
  <c r="O496" i="14"/>
  <c r="E496" i="14"/>
  <c r="I496" i="14"/>
  <c r="F497" i="14" s="1"/>
  <c r="L495" i="14"/>
  <c r="M495" i="14"/>
  <c r="E73" i="8" l="1"/>
  <c r="H496" i="14"/>
  <c r="O497" i="14"/>
  <c r="E497" i="14"/>
  <c r="L496" i="14"/>
  <c r="M496" i="14"/>
  <c r="I497" i="14"/>
  <c r="F498" i="14" s="1"/>
  <c r="E74" i="8" l="1"/>
  <c r="H497" i="14"/>
  <c r="O498" i="14"/>
  <c r="E498" i="14"/>
  <c r="L497" i="14"/>
  <c r="I498" i="14"/>
  <c r="F499" i="14" s="1"/>
  <c r="M497" i="14"/>
  <c r="E75" i="8" l="1"/>
  <c r="H498" i="14"/>
  <c r="O499" i="14"/>
  <c r="E499" i="14"/>
  <c r="L498" i="14"/>
  <c r="M498" i="14"/>
  <c r="I499" i="14"/>
  <c r="F500" i="14" s="1"/>
  <c r="E76" i="8" l="1"/>
  <c r="H499" i="14"/>
  <c r="O500" i="14"/>
  <c r="E500" i="14"/>
  <c r="M499" i="14"/>
  <c r="L499" i="14"/>
  <c r="I500" i="14"/>
  <c r="F501" i="14" s="1"/>
  <c r="E77" i="8" l="1"/>
  <c r="H500" i="14"/>
  <c r="O501" i="14"/>
  <c r="E501" i="14"/>
  <c r="E78" i="8" s="1"/>
  <c r="I501" i="14"/>
  <c r="F502" i="14" s="1"/>
  <c r="M500" i="14"/>
  <c r="L500" i="14"/>
  <c r="H501" i="14" l="1"/>
  <c r="O502" i="14"/>
  <c r="E502" i="14"/>
  <c r="E79" i="8" s="1"/>
  <c r="L501" i="14"/>
  <c r="M501" i="14"/>
  <c r="I502" i="14"/>
  <c r="F503" i="14" s="1"/>
  <c r="H502" i="14" l="1"/>
  <c r="O503" i="14"/>
  <c r="E503" i="14"/>
  <c r="E80" i="8" s="1"/>
  <c r="L502" i="14"/>
  <c r="M502" i="14"/>
  <c r="I503" i="14"/>
  <c r="F504" i="14" s="1"/>
  <c r="E81" i="8" l="1"/>
  <c r="H503" i="14"/>
  <c r="O504" i="14"/>
  <c r="E504" i="14"/>
  <c r="M503" i="14"/>
  <c r="L503" i="14"/>
  <c r="I504" i="14"/>
  <c r="F505" i="14" s="1"/>
  <c r="E82" i="8" l="1"/>
  <c r="H504" i="14"/>
  <c r="O505" i="14"/>
  <c r="E505" i="14"/>
  <c r="M504" i="14"/>
  <c r="I505" i="14"/>
  <c r="F506" i="14" s="1"/>
  <c r="L504" i="14"/>
  <c r="E83" i="8" l="1"/>
  <c r="H505" i="14"/>
  <c r="E506" i="14"/>
  <c r="O506" i="14"/>
  <c r="M505" i="14"/>
  <c r="L505" i="14"/>
  <c r="I506" i="14"/>
  <c r="F507" i="14" s="1"/>
  <c r="E84" i="8" l="1"/>
  <c r="H506" i="14"/>
  <c r="E507" i="14"/>
  <c r="O507" i="14"/>
  <c r="M506" i="14"/>
  <c r="L506" i="14"/>
  <c r="I507" i="14"/>
  <c r="F508" i="14" s="1"/>
  <c r="H507" i="14" l="1"/>
  <c r="O508" i="14"/>
  <c r="E508" i="14"/>
  <c r="E85" i="8" s="1"/>
  <c r="M507" i="14"/>
  <c r="L507" i="14"/>
  <c r="I508" i="14"/>
  <c r="F509" i="14" s="1"/>
  <c r="E86" i="8" l="1"/>
  <c r="H508" i="14"/>
  <c r="E509" i="14"/>
  <c r="O509" i="14"/>
  <c r="L508" i="14"/>
  <c r="I509" i="14"/>
  <c r="F510" i="14" s="1"/>
  <c r="M508" i="14"/>
  <c r="E87" i="8" l="1"/>
  <c r="H509" i="14"/>
  <c r="O510" i="14"/>
  <c r="E510" i="14"/>
  <c r="M509" i="14"/>
  <c r="L509" i="14"/>
  <c r="I510" i="14"/>
  <c r="F511" i="14" s="1"/>
  <c r="H510" i="14" l="1"/>
  <c r="O511" i="14"/>
  <c r="E511" i="14"/>
  <c r="E88" i="8" s="1"/>
  <c r="L510" i="14"/>
  <c r="I511" i="14"/>
  <c r="F512" i="14" s="1"/>
  <c r="M510" i="14"/>
  <c r="E89" i="8" l="1"/>
  <c r="H511" i="14"/>
  <c r="O512" i="14"/>
  <c r="E512" i="14"/>
  <c r="L511" i="14"/>
  <c r="M511" i="14"/>
  <c r="I512" i="14"/>
  <c r="F513" i="14" s="1"/>
  <c r="H512" i="14" l="1"/>
  <c r="O513" i="14"/>
  <c r="E513" i="14"/>
  <c r="E90" i="8" s="1"/>
  <c r="M512" i="14"/>
  <c r="L512" i="14"/>
  <c r="I513" i="14"/>
  <c r="F514" i="14" s="1"/>
  <c r="H513" i="14" l="1"/>
  <c r="O514" i="14"/>
  <c r="E514" i="14"/>
  <c r="M513" i="14"/>
  <c r="L513" i="14"/>
  <c r="I514" i="14"/>
  <c r="F515" i="14" s="1"/>
  <c r="E91" i="8" l="1"/>
  <c r="H514" i="14"/>
  <c r="O515" i="14"/>
  <c r="E515" i="14"/>
  <c r="M514" i="14"/>
  <c r="I515" i="14"/>
  <c r="F516" i="14" s="1"/>
  <c r="L514" i="14"/>
  <c r="E92" i="8" l="1"/>
  <c r="H515" i="14"/>
  <c r="O516" i="14"/>
  <c r="E516" i="14"/>
  <c r="M515" i="14"/>
  <c r="L515" i="14"/>
  <c r="I516" i="14"/>
  <c r="F517" i="14" s="1"/>
  <c r="E93" i="8" l="1"/>
  <c r="H516" i="14"/>
  <c r="O517" i="14"/>
  <c r="E517" i="14"/>
  <c r="M516" i="14"/>
  <c r="L516" i="14"/>
  <c r="I517" i="14"/>
  <c r="F518" i="14" s="1"/>
  <c r="E94" i="8" l="1"/>
  <c r="H517" i="14"/>
  <c r="O518" i="14"/>
  <c r="E518" i="14"/>
  <c r="L517" i="14"/>
  <c r="M517" i="14"/>
  <c r="I518" i="14"/>
  <c r="F519" i="14" s="1"/>
  <c r="E95" i="8" l="1"/>
  <c r="H518" i="14"/>
  <c r="O519" i="14"/>
  <c r="E519" i="14"/>
  <c r="L518" i="14"/>
  <c r="M518" i="14"/>
  <c r="I519" i="14"/>
  <c r="F520" i="14" s="1"/>
  <c r="E96" i="8" l="1"/>
  <c r="E102" i="8"/>
  <c r="E111" i="8"/>
  <c r="E152" i="8"/>
  <c r="E160" i="8"/>
  <c r="H519" i="14"/>
  <c r="E520" i="14"/>
  <c r="O520" i="14"/>
  <c r="L519" i="14"/>
  <c r="M519" i="14"/>
  <c r="I520" i="14"/>
  <c r="F521" i="14" s="1"/>
  <c r="E97" i="8" l="1"/>
  <c r="E103" i="8"/>
  <c r="E112" i="8"/>
  <c r="E139" i="8"/>
  <c r="E153" i="8"/>
  <c r="E154" i="8"/>
  <c r="E161" i="8"/>
  <c r="H520" i="14"/>
  <c r="F522" i="14"/>
  <c r="O521" i="14"/>
  <c r="E521" i="14"/>
  <c r="E98" i="8" s="1"/>
  <c r="L520" i="14"/>
  <c r="I521" i="14"/>
  <c r="M520" i="14"/>
  <c r="E104" i="8" l="1"/>
  <c r="E113" i="8"/>
  <c r="E118" i="8"/>
  <c r="E125" i="8"/>
  <c r="E132" i="8"/>
  <c r="E140" i="8"/>
  <c r="E147" i="8"/>
  <c r="E146" i="8"/>
  <c r="E162" i="8"/>
  <c r="H521" i="14"/>
  <c r="E167" i="8"/>
  <c r="E522" i="14"/>
  <c r="E99" i="8" s="1"/>
  <c r="O522" i="14"/>
  <c r="I522" i="14"/>
  <c r="F523" i="14" s="1"/>
  <c r="M521" i="14"/>
  <c r="L521" i="14"/>
  <c r="E105" i="8" l="1"/>
  <c r="E114" i="8"/>
  <c r="E119" i="8"/>
  <c r="E126" i="8"/>
  <c r="E133" i="8"/>
  <c r="E141" i="8"/>
  <c r="E155" i="8"/>
  <c r="E158" i="8"/>
  <c r="E163" i="8"/>
  <c r="H522" i="14"/>
  <c r="E168" i="8"/>
  <c r="O523" i="14"/>
  <c r="O3" i="14" s="1"/>
  <c r="E523" i="14"/>
  <c r="E100" i="8" s="1"/>
  <c r="M522" i="14"/>
  <c r="I523" i="14"/>
  <c r="L522" i="14"/>
  <c r="E109" i="8" l="1"/>
  <c r="E101" i="8"/>
  <c r="E106" i="8"/>
  <c r="E107" i="8"/>
  <c r="E108" i="8"/>
  <c r="E116" i="8"/>
  <c r="E110" i="8"/>
  <c r="E115" i="8"/>
  <c r="E123" i="8"/>
  <c r="E117" i="8"/>
  <c r="E120" i="8"/>
  <c r="E121" i="8"/>
  <c r="E122" i="8"/>
  <c r="E130" i="8"/>
  <c r="E124" i="8"/>
  <c r="E127" i="8"/>
  <c r="E128" i="8"/>
  <c r="E129" i="8"/>
  <c r="E137" i="8"/>
  <c r="E131" i="8"/>
  <c r="E134" i="8"/>
  <c r="E135" i="8"/>
  <c r="E136" i="8"/>
  <c r="E144" i="8"/>
  <c r="E138" i="8"/>
  <c r="E142" i="8"/>
  <c r="E143" i="8"/>
  <c r="E150" i="8"/>
  <c r="E145" i="8"/>
  <c r="E148" i="8"/>
  <c r="E149" i="8"/>
  <c r="E157" i="8"/>
  <c r="E151" i="8"/>
  <c r="E156" i="8"/>
  <c r="E165" i="8"/>
  <c r="E159" i="8"/>
  <c r="E164" i="8"/>
  <c r="E170" i="8"/>
  <c r="E166" i="8"/>
  <c r="E169" i="8"/>
  <c r="D18" i="8"/>
  <c r="D16" i="8"/>
  <c r="D17" i="8"/>
  <c r="D15" i="8"/>
  <c r="D21" i="8"/>
  <c r="D20" i="8"/>
  <c r="D22" i="8"/>
  <c r="D14" i="8"/>
  <c r="D19" i="8"/>
  <c r="D23" i="8"/>
  <c r="D24" i="8"/>
  <c r="D26" i="8"/>
  <c r="D25" i="8"/>
  <c r="D27" i="8"/>
  <c r="D28" i="8"/>
  <c r="D29" i="8"/>
  <c r="D30" i="8"/>
  <c r="D31" i="8"/>
  <c r="D32" i="8"/>
  <c r="D33" i="8"/>
  <c r="D34" i="8"/>
  <c r="D37" i="8"/>
  <c r="D35" i="8"/>
  <c r="D38" i="8"/>
  <c r="D36" i="8"/>
  <c r="D39" i="8"/>
  <c r="D40" i="8"/>
  <c r="D42" i="8"/>
  <c r="D43" i="8"/>
  <c r="D41" i="8"/>
  <c r="D44" i="8"/>
  <c r="D45" i="8"/>
  <c r="D48" i="8"/>
  <c r="D46" i="8"/>
  <c r="D47" i="8"/>
  <c r="D49" i="8"/>
  <c r="D50" i="8"/>
  <c r="D51" i="8"/>
  <c r="D54" i="8"/>
  <c r="D55" i="8"/>
  <c r="D52" i="8"/>
  <c r="D53" i="8"/>
  <c r="D60" i="8"/>
  <c r="D56" i="8"/>
  <c r="D58" i="8"/>
  <c r="D57" i="8"/>
  <c r="D59" i="8"/>
  <c r="D62" i="8"/>
  <c r="D61" i="8"/>
  <c r="D63" i="8"/>
  <c r="D65" i="8"/>
  <c r="D67" i="8"/>
  <c r="D64" i="8"/>
  <c r="D66" i="8"/>
  <c r="D71" i="8"/>
  <c r="D68" i="8"/>
  <c r="D69" i="8"/>
  <c r="D70" i="8"/>
  <c r="D72" i="8"/>
  <c r="D74" i="8"/>
  <c r="D73" i="8"/>
  <c r="D75" i="8"/>
  <c r="D76" i="8"/>
  <c r="D78" i="8"/>
  <c r="D77" i="8"/>
  <c r="H523" i="14"/>
  <c r="D150" i="8"/>
  <c r="D133" i="8"/>
  <c r="D148" i="8"/>
  <c r="D93" i="8"/>
  <c r="D84" i="8"/>
  <c r="D91" i="8"/>
  <c r="D109" i="8"/>
  <c r="D90" i="8"/>
  <c r="D160" i="8"/>
  <c r="D162" i="8"/>
  <c r="D158" i="8"/>
  <c r="D86" i="8"/>
  <c r="D80" i="8"/>
  <c r="D169" i="8"/>
  <c r="D111" i="8"/>
  <c r="D103" i="8"/>
  <c r="D116" i="8"/>
  <c r="D163" i="8"/>
  <c r="D96" i="8"/>
  <c r="D85" i="8"/>
  <c r="D123" i="8"/>
  <c r="D159" i="8"/>
  <c r="D89" i="8"/>
  <c r="D139" i="8"/>
  <c r="D127" i="8"/>
  <c r="D147" i="8"/>
  <c r="D167" i="8"/>
  <c r="D104" i="8"/>
  <c r="D119" i="8"/>
  <c r="D130" i="8"/>
  <c r="D112" i="8"/>
  <c r="D140" i="8"/>
  <c r="D170" i="8"/>
  <c r="D87" i="8"/>
  <c r="D122" i="8"/>
  <c r="D118" i="8"/>
  <c r="D108" i="8"/>
  <c r="D95" i="8"/>
  <c r="D132" i="8"/>
  <c r="D155" i="8"/>
  <c r="D124" i="8"/>
  <c r="D144" i="8"/>
  <c r="D137" i="8"/>
  <c r="D106" i="8"/>
  <c r="D161" i="8"/>
  <c r="D168" i="8"/>
  <c r="D83" i="8"/>
  <c r="D154" i="8"/>
  <c r="D121" i="8"/>
  <c r="D166" i="8"/>
  <c r="D142" i="8"/>
  <c r="D110" i="8"/>
  <c r="D149" i="8"/>
  <c r="D152" i="8"/>
  <c r="D114" i="8"/>
  <c r="D102" i="8"/>
  <c r="D134" i="8"/>
  <c r="D99" i="8"/>
  <c r="D125" i="8"/>
  <c r="D79" i="8"/>
  <c r="D136" i="8"/>
  <c r="D153" i="8"/>
  <c r="D138" i="8"/>
  <c r="D157" i="8"/>
  <c r="D117" i="8"/>
  <c r="D100" i="8"/>
  <c r="D113" i="8"/>
  <c r="D115" i="8"/>
  <c r="D146" i="8"/>
  <c r="D151" i="8"/>
  <c r="D94" i="8"/>
  <c r="D92" i="8"/>
  <c r="D135" i="8"/>
  <c r="D107" i="8"/>
  <c r="D101" i="8"/>
  <c r="D82" i="8"/>
  <c r="D98" i="8"/>
  <c r="D129" i="8"/>
  <c r="D126" i="8"/>
  <c r="D165" i="8"/>
  <c r="D141" i="8"/>
  <c r="D120" i="8"/>
  <c r="D156" i="8"/>
  <c r="D88" i="8"/>
  <c r="D128" i="8"/>
  <c r="D105" i="8"/>
  <c r="D145" i="8"/>
  <c r="D97" i="8"/>
  <c r="D164" i="8"/>
  <c r="D81" i="8"/>
  <c r="D131" i="8"/>
  <c r="D143" i="8"/>
  <c r="M523" i="14"/>
  <c r="L523" i="14"/>
  <c r="I74" i="8" l="1"/>
  <c r="H74" i="8"/>
  <c r="I66" i="8"/>
  <c r="H66" i="8"/>
  <c r="I62" i="8"/>
  <c r="H62" i="8"/>
  <c r="H53" i="8"/>
  <c r="I53" i="8"/>
  <c r="H49" i="8"/>
  <c r="I49" i="8"/>
  <c r="H41" i="8"/>
  <c r="I41" i="8"/>
  <c r="I38" i="8"/>
  <c r="H38" i="8"/>
  <c r="H31" i="8"/>
  <c r="I31" i="8"/>
  <c r="I26" i="8"/>
  <c r="H26" i="8"/>
  <c r="H20" i="8"/>
  <c r="I20" i="8"/>
  <c r="I77" i="8"/>
  <c r="H77" i="8"/>
  <c r="H72" i="8"/>
  <c r="I72" i="8"/>
  <c r="I64" i="8"/>
  <c r="H64" i="8"/>
  <c r="I59" i="8"/>
  <c r="H59" i="8"/>
  <c r="I52" i="8"/>
  <c r="H52" i="8"/>
  <c r="I47" i="8"/>
  <c r="H47" i="8"/>
  <c r="I43" i="8"/>
  <c r="H43" i="8"/>
  <c r="H35" i="8"/>
  <c r="I35" i="8"/>
  <c r="I30" i="8"/>
  <c r="H30" i="8"/>
  <c r="H24" i="8"/>
  <c r="I24" i="8"/>
  <c r="H21" i="8"/>
  <c r="I21" i="8"/>
  <c r="I78" i="8"/>
  <c r="H78" i="8"/>
  <c r="H70" i="8"/>
  <c r="I70" i="8"/>
  <c r="I67" i="8"/>
  <c r="H67" i="8"/>
  <c r="I57" i="8"/>
  <c r="H57" i="8"/>
  <c r="H55" i="8"/>
  <c r="I55" i="8"/>
  <c r="I46" i="8"/>
  <c r="H46" i="8"/>
  <c r="H42" i="8"/>
  <c r="I42" i="8"/>
  <c r="H37" i="8"/>
  <c r="I37" i="8"/>
  <c r="H29" i="8"/>
  <c r="I29" i="8"/>
  <c r="H23" i="8"/>
  <c r="I23" i="8"/>
  <c r="H15" i="8"/>
  <c r="I15" i="8"/>
  <c r="I76" i="8"/>
  <c r="H76" i="8"/>
  <c r="H69" i="8"/>
  <c r="I69" i="8"/>
  <c r="I65" i="8"/>
  <c r="H65" i="8"/>
  <c r="I58" i="8"/>
  <c r="H58" i="8"/>
  <c r="H54" i="8"/>
  <c r="I54" i="8"/>
  <c r="I48" i="8"/>
  <c r="H48" i="8"/>
  <c r="H40" i="8"/>
  <c r="I40" i="8"/>
  <c r="I34" i="8"/>
  <c r="H34" i="8"/>
  <c r="I28" i="8"/>
  <c r="H28" i="8"/>
  <c r="H19" i="8"/>
  <c r="I19" i="8"/>
  <c r="H17" i="8"/>
  <c r="I17" i="8"/>
  <c r="H75" i="8"/>
  <c r="I75" i="8"/>
  <c r="H68" i="8"/>
  <c r="I68" i="8"/>
  <c r="I63" i="8"/>
  <c r="H63" i="8"/>
  <c r="I56" i="8"/>
  <c r="H56" i="8"/>
  <c r="I51" i="8"/>
  <c r="H51" i="8"/>
  <c r="H45" i="8"/>
  <c r="I45" i="8"/>
  <c r="H39" i="8"/>
  <c r="I39" i="8"/>
  <c r="I33" i="8"/>
  <c r="H33" i="8"/>
  <c r="I27" i="8"/>
  <c r="H27" i="8"/>
  <c r="H14" i="8"/>
  <c r="I14" i="8"/>
  <c r="H16" i="8"/>
  <c r="I16" i="8"/>
  <c r="I73" i="8"/>
  <c r="H73" i="8"/>
  <c r="H71" i="8"/>
  <c r="I71" i="8"/>
  <c r="I61" i="8"/>
  <c r="H61" i="8"/>
  <c r="H60" i="8"/>
  <c r="I60" i="8"/>
  <c r="I50" i="8"/>
  <c r="H50" i="8"/>
  <c r="H44" i="8"/>
  <c r="I44" i="8"/>
  <c r="I36" i="8"/>
  <c r="H36" i="8"/>
  <c r="H32" i="8"/>
  <c r="I32" i="8"/>
  <c r="H25" i="8"/>
  <c r="I25" i="8"/>
  <c r="H22" i="8"/>
  <c r="I22" i="8"/>
  <c r="H18" i="8"/>
  <c r="I18" i="8"/>
  <c r="I143" i="8"/>
  <c r="H143" i="8"/>
  <c r="H131" i="8"/>
  <c r="I131" i="8"/>
  <c r="H145" i="8"/>
  <c r="I145" i="8"/>
  <c r="H156" i="8"/>
  <c r="I156" i="8"/>
  <c r="I126" i="8"/>
  <c r="H126" i="8"/>
  <c r="I101" i="8"/>
  <c r="H101" i="8"/>
  <c r="I94" i="8"/>
  <c r="H94" i="8"/>
  <c r="H113" i="8"/>
  <c r="I113" i="8"/>
  <c r="H138" i="8"/>
  <c r="I138" i="8"/>
  <c r="H125" i="8"/>
  <c r="I125" i="8"/>
  <c r="H114" i="8"/>
  <c r="I114" i="8"/>
  <c r="H142" i="8"/>
  <c r="I142" i="8"/>
  <c r="H83" i="8"/>
  <c r="I83" i="8"/>
  <c r="I137" i="8"/>
  <c r="H137" i="8"/>
  <c r="I132" i="8"/>
  <c r="H132" i="8"/>
  <c r="H122" i="8"/>
  <c r="I122" i="8"/>
  <c r="I112" i="8"/>
  <c r="H112" i="8"/>
  <c r="I167" i="8"/>
  <c r="H167" i="8"/>
  <c r="I89" i="8"/>
  <c r="H89" i="8"/>
  <c r="I96" i="8"/>
  <c r="H96" i="8"/>
  <c r="H111" i="8"/>
  <c r="I111" i="8"/>
  <c r="H158" i="8"/>
  <c r="I158" i="8"/>
  <c r="I109" i="8"/>
  <c r="H109" i="8"/>
  <c r="H148" i="8"/>
  <c r="I148" i="8"/>
  <c r="H81" i="8"/>
  <c r="I81" i="8"/>
  <c r="I105" i="8"/>
  <c r="H105" i="8"/>
  <c r="I120" i="8"/>
  <c r="H120" i="8"/>
  <c r="H129" i="8"/>
  <c r="I129" i="8"/>
  <c r="H107" i="8"/>
  <c r="I107" i="8"/>
  <c r="I151" i="8"/>
  <c r="H151" i="8"/>
  <c r="I100" i="8"/>
  <c r="H100" i="8"/>
  <c r="I153" i="8"/>
  <c r="H153" i="8"/>
  <c r="I99" i="8"/>
  <c r="H99" i="8"/>
  <c r="I152" i="8"/>
  <c r="H152" i="8"/>
  <c r="I166" i="8"/>
  <c r="H166" i="8"/>
  <c r="H168" i="8"/>
  <c r="I168" i="8"/>
  <c r="I144" i="8"/>
  <c r="H144" i="8"/>
  <c r="I95" i="8"/>
  <c r="H95" i="8"/>
  <c r="H87" i="8"/>
  <c r="I87" i="8"/>
  <c r="I130" i="8"/>
  <c r="H130" i="8"/>
  <c r="H147" i="8"/>
  <c r="I147" i="8"/>
  <c r="I159" i="8"/>
  <c r="H159" i="8"/>
  <c r="H163" i="8"/>
  <c r="I163" i="8"/>
  <c r="H169" i="8"/>
  <c r="I169" i="8"/>
  <c r="H162" i="8"/>
  <c r="I162" i="8"/>
  <c r="H91" i="8"/>
  <c r="I91" i="8"/>
  <c r="H133" i="8"/>
  <c r="I133" i="8"/>
  <c r="I97" i="8"/>
  <c r="H97" i="8"/>
  <c r="I164" i="8"/>
  <c r="H164" i="8"/>
  <c r="I128" i="8"/>
  <c r="H128" i="8"/>
  <c r="I141" i="8"/>
  <c r="H141" i="8"/>
  <c r="I98" i="8"/>
  <c r="H98" i="8"/>
  <c r="I135" i="8"/>
  <c r="H135" i="8"/>
  <c r="I146" i="8"/>
  <c r="H146" i="8"/>
  <c r="H117" i="8"/>
  <c r="I117" i="8"/>
  <c r="I136" i="8"/>
  <c r="H136" i="8"/>
  <c r="I134" i="8"/>
  <c r="H134" i="8"/>
  <c r="H149" i="8"/>
  <c r="I149" i="8"/>
  <c r="I121" i="8"/>
  <c r="H121" i="8"/>
  <c r="H161" i="8"/>
  <c r="I161" i="8"/>
  <c r="I124" i="8"/>
  <c r="H124" i="8"/>
  <c r="H108" i="8"/>
  <c r="I108" i="8"/>
  <c r="I170" i="8"/>
  <c r="H170" i="8"/>
  <c r="I119" i="8"/>
  <c r="H119" i="8"/>
  <c r="H127" i="8"/>
  <c r="I127" i="8"/>
  <c r="I123" i="8"/>
  <c r="H123" i="8"/>
  <c r="I116" i="8"/>
  <c r="H116" i="8"/>
  <c r="I80" i="8"/>
  <c r="H80" i="8"/>
  <c r="I160" i="8"/>
  <c r="H160" i="8"/>
  <c r="I84" i="8"/>
  <c r="H84" i="8"/>
  <c r="H150" i="8"/>
  <c r="I150" i="8"/>
  <c r="H88" i="8"/>
  <c r="I88" i="8"/>
  <c r="H165" i="8"/>
  <c r="I165" i="8"/>
  <c r="I82" i="8"/>
  <c r="H82" i="8"/>
  <c r="I92" i="8"/>
  <c r="H92" i="8"/>
  <c r="I115" i="8"/>
  <c r="H115" i="8"/>
  <c r="H157" i="8"/>
  <c r="I157" i="8"/>
  <c r="H79" i="8"/>
  <c r="I79" i="8"/>
  <c r="H102" i="8"/>
  <c r="I102" i="8"/>
  <c r="I110" i="8"/>
  <c r="H110" i="8"/>
  <c r="H154" i="8"/>
  <c r="I154" i="8"/>
  <c r="I106" i="8"/>
  <c r="H106" i="8"/>
  <c r="H155" i="8"/>
  <c r="I155" i="8"/>
  <c r="I118" i="8"/>
  <c r="H118" i="8"/>
  <c r="I140" i="8"/>
  <c r="H140" i="8"/>
  <c r="I104" i="8"/>
  <c r="H104" i="8"/>
  <c r="I139" i="8"/>
  <c r="H139" i="8"/>
  <c r="I85" i="8"/>
  <c r="H85" i="8"/>
  <c r="H103" i="8"/>
  <c r="I103" i="8"/>
  <c r="I86" i="8"/>
  <c r="H86" i="8"/>
  <c r="I90" i="8"/>
  <c r="H90" i="8"/>
  <c r="H93" i="8"/>
  <c r="I93" i="8"/>
  <c r="J25" i="8" l="1"/>
  <c r="R25" i="8"/>
  <c r="P25" i="8"/>
  <c r="K25" i="8"/>
  <c r="R44" i="8"/>
  <c r="P44" i="8"/>
  <c r="J44" i="8"/>
  <c r="K44" i="8"/>
  <c r="O61" i="8"/>
  <c r="Q61" i="8"/>
  <c r="R16" i="8"/>
  <c r="J16" i="8"/>
  <c r="P16" i="8"/>
  <c r="K16" i="8"/>
  <c r="O33" i="8"/>
  <c r="Q33" i="8"/>
  <c r="Q51" i="8"/>
  <c r="O51" i="8"/>
  <c r="R68" i="8"/>
  <c r="J68" i="8"/>
  <c r="P68" i="8"/>
  <c r="V68" i="8"/>
  <c r="K68" i="8"/>
  <c r="J19" i="8"/>
  <c r="K19" i="8"/>
  <c r="R19" i="8"/>
  <c r="P19" i="8"/>
  <c r="P40" i="8"/>
  <c r="J40" i="8"/>
  <c r="K40" i="8"/>
  <c r="R40" i="8"/>
  <c r="O58" i="8"/>
  <c r="Q58" i="8"/>
  <c r="Q76" i="8"/>
  <c r="U76" i="8"/>
  <c r="O76" i="8"/>
  <c r="P29" i="8"/>
  <c r="J29" i="8"/>
  <c r="K29" i="8"/>
  <c r="R29" i="8"/>
  <c r="O46" i="8"/>
  <c r="Q46" i="8"/>
  <c r="Q67" i="8"/>
  <c r="U67" i="8"/>
  <c r="O67" i="8"/>
  <c r="J21" i="8"/>
  <c r="K21" i="8"/>
  <c r="R21" i="8"/>
  <c r="P21" i="8"/>
  <c r="J35" i="8"/>
  <c r="P35" i="8"/>
  <c r="K35" i="8"/>
  <c r="R35" i="8"/>
  <c r="O52" i="8"/>
  <c r="Q52" i="8"/>
  <c r="K72" i="8"/>
  <c r="P72" i="8"/>
  <c r="R72" i="8"/>
  <c r="V72" i="8"/>
  <c r="J72" i="8"/>
  <c r="O26" i="8"/>
  <c r="Q26" i="8"/>
  <c r="J41" i="8"/>
  <c r="R41" i="8"/>
  <c r="P41" i="8"/>
  <c r="K41" i="8"/>
  <c r="Q62" i="8"/>
  <c r="O62" i="8"/>
  <c r="Q25" i="8"/>
  <c r="O25" i="8"/>
  <c r="O44" i="8"/>
  <c r="Q44" i="8"/>
  <c r="K61" i="8"/>
  <c r="R61" i="8"/>
  <c r="P61" i="8"/>
  <c r="J61" i="8"/>
  <c r="Q16" i="8"/>
  <c r="O16" i="8"/>
  <c r="R33" i="8"/>
  <c r="K33" i="8"/>
  <c r="J33" i="8"/>
  <c r="P33" i="8"/>
  <c r="R51" i="8"/>
  <c r="J51" i="8"/>
  <c r="P51" i="8"/>
  <c r="K51" i="8"/>
  <c r="Q68" i="8"/>
  <c r="U68" i="8"/>
  <c r="O68" i="8"/>
  <c r="Q19" i="8"/>
  <c r="O19" i="8"/>
  <c r="Q40" i="8"/>
  <c r="O40" i="8"/>
  <c r="R58" i="8"/>
  <c r="K58" i="8"/>
  <c r="J58" i="8"/>
  <c r="P58" i="8"/>
  <c r="K76" i="8"/>
  <c r="V76" i="8"/>
  <c r="R76" i="8"/>
  <c r="J76" i="8"/>
  <c r="P76" i="8"/>
  <c r="O29" i="8"/>
  <c r="Q29" i="8"/>
  <c r="R46" i="8"/>
  <c r="J46" i="8"/>
  <c r="P46" i="8"/>
  <c r="K46" i="8"/>
  <c r="V67" i="8"/>
  <c r="J67" i="8"/>
  <c r="P67" i="8"/>
  <c r="K67" i="8"/>
  <c r="R67" i="8"/>
  <c r="O21" i="8"/>
  <c r="Q21" i="8"/>
  <c r="O35" i="8"/>
  <c r="Q35" i="8"/>
  <c r="J52" i="8"/>
  <c r="P52" i="8"/>
  <c r="K52" i="8"/>
  <c r="R52" i="8"/>
  <c r="U72" i="8"/>
  <c r="Q72" i="8"/>
  <c r="O72" i="8"/>
  <c r="R26" i="8"/>
  <c r="J26" i="8"/>
  <c r="K26" i="8"/>
  <c r="P26" i="8"/>
  <c r="O41" i="8"/>
  <c r="Q41" i="8"/>
  <c r="R62" i="8"/>
  <c r="P62" i="8"/>
  <c r="J62" i="8"/>
  <c r="K62" i="8"/>
  <c r="R18" i="8"/>
  <c r="K18" i="8"/>
  <c r="J18" i="8"/>
  <c r="P18" i="8"/>
  <c r="P32" i="8"/>
  <c r="J32" i="8"/>
  <c r="R32" i="8"/>
  <c r="K32" i="8"/>
  <c r="O50" i="8"/>
  <c r="Q50" i="8"/>
  <c r="P71" i="8"/>
  <c r="K71" i="8"/>
  <c r="V71" i="8"/>
  <c r="J71" i="8"/>
  <c r="R71" i="8"/>
  <c r="K14" i="8"/>
  <c r="R14" i="8"/>
  <c r="P14" i="8"/>
  <c r="J14" i="8"/>
  <c r="K39" i="8"/>
  <c r="P39" i="8"/>
  <c r="R39" i="8"/>
  <c r="J39" i="8"/>
  <c r="O56" i="8"/>
  <c r="Q56" i="8"/>
  <c r="V75" i="8"/>
  <c r="P75" i="8"/>
  <c r="R75" i="8"/>
  <c r="K75" i="8"/>
  <c r="J75" i="8"/>
  <c r="O28" i="8"/>
  <c r="Q28" i="8"/>
  <c r="O48" i="8"/>
  <c r="Q48" i="8"/>
  <c r="Q65" i="8"/>
  <c r="O65" i="8"/>
  <c r="K15" i="8"/>
  <c r="P15" i="8"/>
  <c r="R15" i="8"/>
  <c r="J15" i="8"/>
  <c r="K37" i="8"/>
  <c r="R37" i="8"/>
  <c r="P37" i="8"/>
  <c r="J37" i="8"/>
  <c r="P55" i="8"/>
  <c r="K55" i="8"/>
  <c r="J55" i="8"/>
  <c r="R55" i="8"/>
  <c r="P70" i="8"/>
  <c r="R70" i="8"/>
  <c r="K70" i="8"/>
  <c r="J70" i="8"/>
  <c r="V70" i="8"/>
  <c r="J24" i="8"/>
  <c r="P24" i="8"/>
  <c r="R24" i="8"/>
  <c r="K24" i="8"/>
  <c r="Q43" i="8"/>
  <c r="O43" i="8"/>
  <c r="Q59" i="8"/>
  <c r="O59" i="8"/>
  <c r="Q77" i="8"/>
  <c r="U77" i="8"/>
  <c r="O77" i="8"/>
  <c r="P31" i="8"/>
  <c r="R31" i="8"/>
  <c r="K31" i="8"/>
  <c r="J31" i="8"/>
  <c r="J49" i="8"/>
  <c r="K49" i="8"/>
  <c r="R49" i="8"/>
  <c r="P49" i="8"/>
  <c r="U66" i="8"/>
  <c r="O66" i="8"/>
  <c r="Q66" i="8"/>
  <c r="O18" i="8"/>
  <c r="Q18" i="8"/>
  <c r="O32" i="8"/>
  <c r="Q32" i="8"/>
  <c r="K50" i="8"/>
  <c r="R50" i="8"/>
  <c r="P50" i="8"/>
  <c r="J50" i="8"/>
  <c r="Q71" i="8"/>
  <c r="O71" i="8"/>
  <c r="U71" i="8"/>
  <c r="Q14" i="8"/>
  <c r="O14" i="8"/>
  <c r="Q39" i="8"/>
  <c r="O39" i="8"/>
  <c r="R56" i="8"/>
  <c r="J56" i="8"/>
  <c r="K56" i="8"/>
  <c r="P56" i="8"/>
  <c r="Q75" i="8"/>
  <c r="U75" i="8"/>
  <c r="O75" i="8"/>
  <c r="J28" i="8"/>
  <c r="R28" i="8"/>
  <c r="K28" i="8"/>
  <c r="P28" i="8"/>
  <c r="J48" i="8"/>
  <c r="P48" i="8"/>
  <c r="R48" i="8"/>
  <c r="K48" i="8"/>
  <c r="R65" i="8"/>
  <c r="K65" i="8"/>
  <c r="P65" i="8"/>
  <c r="J65" i="8"/>
  <c r="O15" i="8"/>
  <c r="Q15" i="8"/>
  <c r="O37" i="8"/>
  <c r="Q37" i="8"/>
  <c r="Q55" i="8"/>
  <c r="O55" i="8"/>
  <c r="U70" i="8"/>
  <c r="Q70" i="8"/>
  <c r="O70" i="8"/>
  <c r="Q24" i="8"/>
  <c r="O24" i="8"/>
  <c r="K43" i="8"/>
  <c r="P43" i="8"/>
  <c r="J43" i="8"/>
  <c r="R43" i="8"/>
  <c r="K59" i="8"/>
  <c r="R59" i="8"/>
  <c r="P59" i="8"/>
  <c r="J59" i="8"/>
  <c r="V77" i="8"/>
  <c r="K77" i="8"/>
  <c r="P77" i="8"/>
  <c r="J77" i="8"/>
  <c r="R77" i="8"/>
  <c r="Q31" i="8"/>
  <c r="O31" i="8"/>
  <c r="O49" i="8"/>
  <c r="Q49" i="8"/>
  <c r="R66" i="8"/>
  <c r="P66" i="8"/>
  <c r="V66" i="8"/>
  <c r="J66" i="8"/>
  <c r="K66" i="8"/>
  <c r="K22" i="8"/>
  <c r="R22" i="8"/>
  <c r="J22" i="8"/>
  <c r="P22" i="8"/>
  <c r="O36" i="8"/>
  <c r="Q36" i="8"/>
  <c r="R60" i="8"/>
  <c r="K60" i="8"/>
  <c r="J60" i="8"/>
  <c r="P60" i="8"/>
  <c r="O73" i="8"/>
  <c r="U73" i="8"/>
  <c r="Q73" i="8"/>
  <c r="Q27" i="8"/>
  <c r="O27" i="8"/>
  <c r="P45" i="8"/>
  <c r="J45" i="8"/>
  <c r="K45" i="8"/>
  <c r="R45" i="8"/>
  <c r="O63" i="8"/>
  <c r="Q63" i="8"/>
  <c r="K17" i="8"/>
  <c r="R17" i="8"/>
  <c r="P17" i="8"/>
  <c r="J17" i="8"/>
  <c r="O34" i="8"/>
  <c r="Q34" i="8"/>
  <c r="K54" i="8"/>
  <c r="J54" i="8"/>
  <c r="R54" i="8"/>
  <c r="P54" i="8"/>
  <c r="V69" i="8"/>
  <c r="K69" i="8"/>
  <c r="J69" i="8"/>
  <c r="P69" i="8"/>
  <c r="R69" i="8"/>
  <c r="R23" i="8"/>
  <c r="K23" i="8"/>
  <c r="J23" i="8"/>
  <c r="P23" i="8"/>
  <c r="J42" i="8"/>
  <c r="R42" i="8"/>
  <c r="P42" i="8"/>
  <c r="K42" i="8"/>
  <c r="Q57" i="8"/>
  <c r="O57" i="8"/>
  <c r="Q78" i="8"/>
  <c r="U78" i="8"/>
  <c r="O78" i="8"/>
  <c r="Q30" i="8"/>
  <c r="O30" i="8"/>
  <c r="O47" i="8"/>
  <c r="Q47" i="8"/>
  <c r="Q64" i="8"/>
  <c r="O64" i="8"/>
  <c r="R20" i="8"/>
  <c r="P20" i="8"/>
  <c r="K20" i="8"/>
  <c r="J20" i="8"/>
  <c r="O38" i="8"/>
  <c r="Q38" i="8"/>
  <c r="J53" i="8"/>
  <c r="P53" i="8"/>
  <c r="R53" i="8"/>
  <c r="K53" i="8"/>
  <c r="U74" i="8"/>
  <c r="O74" i="8"/>
  <c r="Q74" i="8"/>
  <c r="O22" i="8"/>
  <c r="Q22" i="8"/>
  <c r="J36" i="8"/>
  <c r="P36" i="8"/>
  <c r="R36" i="8"/>
  <c r="K36" i="8"/>
  <c r="O60" i="8"/>
  <c r="Q60" i="8"/>
  <c r="P73" i="8"/>
  <c r="K73" i="8"/>
  <c r="R73" i="8"/>
  <c r="V73" i="8"/>
  <c r="J73" i="8"/>
  <c r="J27" i="8"/>
  <c r="P27" i="8"/>
  <c r="R27" i="8"/>
  <c r="K27" i="8"/>
  <c r="O45" i="8"/>
  <c r="Q45" i="8"/>
  <c r="P63" i="8"/>
  <c r="K63" i="8"/>
  <c r="R63" i="8"/>
  <c r="J63" i="8"/>
  <c r="Q17" i="8"/>
  <c r="O17" i="8"/>
  <c r="K34" i="8"/>
  <c r="J34" i="8"/>
  <c r="P34" i="8"/>
  <c r="R34" i="8"/>
  <c r="Q54" i="8"/>
  <c r="O54" i="8"/>
  <c r="Q69" i="8"/>
  <c r="U69" i="8"/>
  <c r="O69" i="8"/>
  <c r="Q23" i="8"/>
  <c r="O23" i="8"/>
  <c r="Q42" i="8"/>
  <c r="O42" i="8"/>
  <c r="P57" i="8"/>
  <c r="K57" i="8"/>
  <c r="R57" i="8"/>
  <c r="J57" i="8"/>
  <c r="J78" i="8"/>
  <c r="R78" i="8"/>
  <c r="P78" i="8"/>
  <c r="K78" i="8"/>
  <c r="V78" i="8"/>
  <c r="R30" i="8"/>
  <c r="K30" i="8"/>
  <c r="J30" i="8"/>
  <c r="P30" i="8"/>
  <c r="R47" i="8"/>
  <c r="K47" i="8"/>
  <c r="P47" i="8"/>
  <c r="J47" i="8"/>
  <c r="P64" i="8"/>
  <c r="J64" i="8"/>
  <c r="R64" i="8"/>
  <c r="K64" i="8"/>
  <c r="O20" i="8"/>
  <c r="Q20" i="8"/>
  <c r="J38" i="8"/>
  <c r="P38" i="8"/>
  <c r="K38" i="8"/>
  <c r="R38" i="8"/>
  <c r="O53" i="8"/>
  <c r="Q53" i="8"/>
  <c r="R74" i="8"/>
  <c r="V74" i="8"/>
  <c r="P74" i="8"/>
  <c r="K74" i="8"/>
  <c r="J74" i="8"/>
  <c r="O86" i="8"/>
  <c r="Q86" i="8"/>
  <c r="U86" i="8"/>
  <c r="Q118" i="8"/>
  <c r="O118" i="8"/>
  <c r="U118" i="8"/>
  <c r="U115" i="8"/>
  <c r="Q115" i="8"/>
  <c r="O115" i="8"/>
  <c r="R88" i="8"/>
  <c r="P88" i="8"/>
  <c r="K88" i="8"/>
  <c r="V88" i="8"/>
  <c r="J88" i="8"/>
  <c r="U80" i="8"/>
  <c r="Q80" i="8"/>
  <c r="O80" i="8"/>
  <c r="V161" i="8"/>
  <c r="P161" i="8"/>
  <c r="R161" i="8"/>
  <c r="J161" i="8"/>
  <c r="K161" i="8"/>
  <c r="J149" i="8"/>
  <c r="V149" i="8"/>
  <c r="P149" i="8"/>
  <c r="K149" i="8"/>
  <c r="R149" i="8"/>
  <c r="U98" i="8"/>
  <c r="Q98" i="8"/>
  <c r="O98" i="8"/>
  <c r="U159" i="8"/>
  <c r="Q159" i="8"/>
  <c r="O159" i="8"/>
  <c r="U152" i="8"/>
  <c r="O152" i="8"/>
  <c r="Q152" i="8"/>
  <c r="Q105" i="8"/>
  <c r="U105" i="8"/>
  <c r="O105" i="8"/>
  <c r="Q167" i="8"/>
  <c r="U167" i="8"/>
  <c r="O167" i="8"/>
  <c r="U137" i="8"/>
  <c r="O137" i="8"/>
  <c r="Q137" i="8"/>
  <c r="V142" i="8"/>
  <c r="R142" i="8"/>
  <c r="P142" i="8"/>
  <c r="K142" i="8"/>
  <c r="J142" i="8"/>
  <c r="K125" i="8"/>
  <c r="V125" i="8"/>
  <c r="P125" i="8"/>
  <c r="J125" i="8"/>
  <c r="R125" i="8"/>
  <c r="R113" i="8"/>
  <c r="P113" i="8"/>
  <c r="K113" i="8"/>
  <c r="J113" i="8"/>
  <c r="V113" i="8"/>
  <c r="U101" i="8"/>
  <c r="Q101" i="8"/>
  <c r="O101" i="8"/>
  <c r="V156" i="8"/>
  <c r="K156" i="8"/>
  <c r="J156" i="8"/>
  <c r="P156" i="8"/>
  <c r="R156" i="8"/>
  <c r="V131" i="8"/>
  <c r="R131" i="8"/>
  <c r="K131" i="8"/>
  <c r="J131" i="8"/>
  <c r="P131" i="8"/>
  <c r="U93" i="8"/>
  <c r="O93" i="8"/>
  <c r="Q93" i="8"/>
  <c r="P86" i="8"/>
  <c r="R86" i="8"/>
  <c r="V86" i="8"/>
  <c r="J86" i="8"/>
  <c r="K86" i="8"/>
  <c r="J85" i="8"/>
  <c r="P85" i="8"/>
  <c r="V85" i="8"/>
  <c r="K85" i="8"/>
  <c r="R85" i="8"/>
  <c r="P104" i="8"/>
  <c r="R104" i="8"/>
  <c r="V104" i="8"/>
  <c r="K104" i="8"/>
  <c r="J104" i="8"/>
  <c r="R118" i="8"/>
  <c r="V118" i="8"/>
  <c r="P118" i="8"/>
  <c r="K118" i="8"/>
  <c r="J118" i="8"/>
  <c r="R106" i="8"/>
  <c r="P106" i="8"/>
  <c r="K106" i="8"/>
  <c r="J106" i="8"/>
  <c r="V106" i="8"/>
  <c r="K110" i="8"/>
  <c r="R110" i="8"/>
  <c r="J110" i="8"/>
  <c r="V110" i="8"/>
  <c r="P110" i="8"/>
  <c r="U79" i="8"/>
  <c r="O79" i="8"/>
  <c r="Q79" i="8"/>
  <c r="K115" i="8"/>
  <c r="R115" i="8"/>
  <c r="J115" i="8"/>
  <c r="P115" i="8"/>
  <c r="V115" i="8"/>
  <c r="P82" i="8"/>
  <c r="J82" i="8"/>
  <c r="V82" i="8"/>
  <c r="R82" i="8"/>
  <c r="K82" i="8"/>
  <c r="O88" i="8"/>
  <c r="Q88" i="8"/>
  <c r="U88" i="8"/>
  <c r="V84" i="8"/>
  <c r="R84" i="8"/>
  <c r="P84" i="8"/>
  <c r="J84" i="8"/>
  <c r="K84" i="8"/>
  <c r="R80" i="8"/>
  <c r="P80" i="8"/>
  <c r="J80" i="8"/>
  <c r="K80" i="8"/>
  <c r="V80" i="8"/>
  <c r="J123" i="8"/>
  <c r="V123" i="8"/>
  <c r="R123" i="8"/>
  <c r="P123" i="8"/>
  <c r="K123" i="8"/>
  <c r="P119" i="8"/>
  <c r="K119" i="8"/>
  <c r="V119" i="8"/>
  <c r="J119" i="8"/>
  <c r="R119" i="8"/>
  <c r="O108" i="8"/>
  <c r="Q108" i="8"/>
  <c r="U108" i="8"/>
  <c r="Q161" i="8"/>
  <c r="U161" i="8"/>
  <c r="O161" i="8"/>
  <c r="U149" i="8"/>
  <c r="Q149" i="8"/>
  <c r="O149" i="8"/>
  <c r="V136" i="8"/>
  <c r="P136" i="8"/>
  <c r="K136" i="8"/>
  <c r="R136" i="8"/>
  <c r="J136" i="8"/>
  <c r="R146" i="8"/>
  <c r="V146" i="8"/>
  <c r="K146" i="8"/>
  <c r="J146" i="8"/>
  <c r="P146" i="8"/>
  <c r="R98" i="8"/>
  <c r="K98" i="8"/>
  <c r="P98" i="8"/>
  <c r="V98" i="8"/>
  <c r="J98" i="8"/>
  <c r="R128" i="8"/>
  <c r="V128" i="8"/>
  <c r="J128" i="8"/>
  <c r="P128" i="8"/>
  <c r="K128" i="8"/>
  <c r="R97" i="8"/>
  <c r="J97" i="8"/>
  <c r="K97" i="8"/>
  <c r="V97" i="8"/>
  <c r="P97" i="8"/>
  <c r="O91" i="8"/>
  <c r="U91" i="8"/>
  <c r="Q91" i="8"/>
  <c r="Q169" i="8"/>
  <c r="O169" i="8"/>
  <c r="U169" i="8"/>
  <c r="R159" i="8"/>
  <c r="V159" i="8"/>
  <c r="J159" i="8"/>
  <c r="K159" i="8"/>
  <c r="P159" i="8"/>
  <c r="J130" i="8"/>
  <c r="V130" i="8"/>
  <c r="R130" i="8"/>
  <c r="P130" i="8"/>
  <c r="K130" i="8"/>
  <c r="R95" i="8"/>
  <c r="K95" i="8"/>
  <c r="J95" i="8"/>
  <c r="P95" i="8"/>
  <c r="V95" i="8"/>
  <c r="U168" i="8"/>
  <c r="O168" i="8"/>
  <c r="Q168" i="8"/>
  <c r="V152" i="8"/>
  <c r="R152" i="8"/>
  <c r="K152" i="8"/>
  <c r="J152" i="8"/>
  <c r="P152" i="8"/>
  <c r="P153" i="8"/>
  <c r="J153" i="8"/>
  <c r="V153" i="8"/>
  <c r="K153" i="8"/>
  <c r="R153" i="8"/>
  <c r="V151" i="8"/>
  <c r="R151" i="8"/>
  <c r="P151" i="8"/>
  <c r="K151" i="8"/>
  <c r="J151" i="8"/>
  <c r="U129" i="8"/>
  <c r="O129" i="8"/>
  <c r="Q129" i="8"/>
  <c r="P105" i="8"/>
  <c r="J105" i="8"/>
  <c r="V105" i="8"/>
  <c r="R105" i="8"/>
  <c r="K105" i="8"/>
  <c r="Q148" i="8"/>
  <c r="U148" i="8"/>
  <c r="O148" i="8"/>
  <c r="Q158" i="8"/>
  <c r="U158" i="8"/>
  <c r="O158" i="8"/>
  <c r="K96" i="8"/>
  <c r="V96" i="8"/>
  <c r="J96" i="8"/>
  <c r="P96" i="8"/>
  <c r="R96" i="8"/>
  <c r="R167" i="8"/>
  <c r="P167" i="8"/>
  <c r="J167" i="8"/>
  <c r="K167" i="8"/>
  <c r="V167" i="8"/>
  <c r="U122" i="8"/>
  <c r="O122" i="8"/>
  <c r="Q122" i="8"/>
  <c r="J137" i="8"/>
  <c r="P137" i="8"/>
  <c r="R137" i="8"/>
  <c r="V137" i="8"/>
  <c r="K137" i="8"/>
  <c r="O142" i="8"/>
  <c r="Q142" i="8"/>
  <c r="U142" i="8"/>
  <c r="U125" i="8"/>
  <c r="Q125" i="8"/>
  <c r="O125" i="8"/>
  <c r="Q113" i="8"/>
  <c r="O113" i="8"/>
  <c r="U113" i="8"/>
  <c r="J101" i="8"/>
  <c r="R101" i="8"/>
  <c r="V101" i="8"/>
  <c r="P101" i="8"/>
  <c r="K101" i="8"/>
  <c r="Q156" i="8"/>
  <c r="O156" i="8"/>
  <c r="U156" i="8"/>
  <c r="O131" i="8"/>
  <c r="U131" i="8"/>
  <c r="Q131" i="8"/>
  <c r="U104" i="8"/>
  <c r="Q104" i="8"/>
  <c r="O104" i="8"/>
  <c r="Q106" i="8"/>
  <c r="O106" i="8"/>
  <c r="U106" i="8"/>
  <c r="R79" i="8"/>
  <c r="K79" i="8"/>
  <c r="V79" i="8"/>
  <c r="J79" i="8"/>
  <c r="P79" i="8"/>
  <c r="O84" i="8"/>
  <c r="Q84" i="8"/>
  <c r="U84" i="8"/>
  <c r="U119" i="8"/>
  <c r="Q119" i="8"/>
  <c r="O119" i="8"/>
  <c r="Q136" i="8"/>
  <c r="U136" i="8"/>
  <c r="O136" i="8"/>
  <c r="U128" i="8"/>
  <c r="Q128" i="8"/>
  <c r="O128" i="8"/>
  <c r="R91" i="8"/>
  <c r="J91" i="8"/>
  <c r="K91" i="8"/>
  <c r="P91" i="8"/>
  <c r="V91" i="8"/>
  <c r="J169" i="8"/>
  <c r="P169" i="8"/>
  <c r="V169" i="8"/>
  <c r="K169" i="8"/>
  <c r="R169" i="8"/>
  <c r="Q95" i="8"/>
  <c r="U95" i="8"/>
  <c r="O95" i="8"/>
  <c r="Q153" i="8"/>
  <c r="U153" i="8"/>
  <c r="O153" i="8"/>
  <c r="V129" i="8"/>
  <c r="K129" i="8"/>
  <c r="R129" i="8"/>
  <c r="J129" i="8"/>
  <c r="P129" i="8"/>
  <c r="Q96" i="8"/>
  <c r="O96" i="8"/>
  <c r="U96" i="8"/>
  <c r="V122" i="8"/>
  <c r="P122" i="8"/>
  <c r="K122" i="8"/>
  <c r="R122" i="8"/>
  <c r="J122" i="8"/>
  <c r="R103" i="8"/>
  <c r="P103" i="8"/>
  <c r="J103" i="8"/>
  <c r="K103" i="8"/>
  <c r="V103" i="8"/>
  <c r="Q140" i="8"/>
  <c r="U140" i="8"/>
  <c r="O140" i="8"/>
  <c r="K155" i="8"/>
  <c r="P155" i="8"/>
  <c r="R155" i="8"/>
  <c r="V155" i="8"/>
  <c r="J155" i="8"/>
  <c r="R154" i="8"/>
  <c r="J154" i="8"/>
  <c r="V154" i="8"/>
  <c r="P154" i="8"/>
  <c r="K154" i="8"/>
  <c r="P102" i="8"/>
  <c r="V102" i="8"/>
  <c r="J102" i="8"/>
  <c r="K102" i="8"/>
  <c r="R102" i="8"/>
  <c r="P157" i="8"/>
  <c r="J157" i="8"/>
  <c r="V157" i="8"/>
  <c r="R157" i="8"/>
  <c r="K157" i="8"/>
  <c r="Q92" i="8"/>
  <c r="O92" i="8"/>
  <c r="U92" i="8"/>
  <c r="K165" i="8"/>
  <c r="P165" i="8"/>
  <c r="V165" i="8"/>
  <c r="R165" i="8"/>
  <c r="J165" i="8"/>
  <c r="K150" i="8"/>
  <c r="V150" i="8"/>
  <c r="J150" i="8"/>
  <c r="R150" i="8"/>
  <c r="P150" i="8"/>
  <c r="Q160" i="8"/>
  <c r="O160" i="8"/>
  <c r="U160" i="8"/>
  <c r="O116" i="8"/>
  <c r="U116" i="8"/>
  <c r="Q116" i="8"/>
  <c r="J127" i="8"/>
  <c r="K127" i="8"/>
  <c r="R127" i="8"/>
  <c r="P127" i="8"/>
  <c r="V127" i="8"/>
  <c r="O170" i="8"/>
  <c r="Q170" i="8"/>
  <c r="U170" i="8"/>
  <c r="U124" i="8"/>
  <c r="O124" i="8"/>
  <c r="Q124" i="8"/>
  <c r="O121" i="8"/>
  <c r="Q121" i="8"/>
  <c r="U121" i="8"/>
  <c r="O134" i="8"/>
  <c r="Q134" i="8"/>
  <c r="U134" i="8"/>
  <c r="V117" i="8"/>
  <c r="P117" i="8"/>
  <c r="R117" i="8"/>
  <c r="J117" i="8"/>
  <c r="K117" i="8"/>
  <c r="Q135" i="8"/>
  <c r="O135" i="8"/>
  <c r="U135" i="8"/>
  <c r="AS2" i="15"/>
  <c r="Q141" i="8"/>
  <c r="O141" i="8"/>
  <c r="U141" i="8"/>
  <c r="O164" i="8"/>
  <c r="U164" i="8"/>
  <c r="Q164" i="8"/>
  <c r="K133" i="8"/>
  <c r="R133" i="8"/>
  <c r="V133" i="8"/>
  <c r="J133" i="8"/>
  <c r="P133" i="8"/>
  <c r="V162" i="8"/>
  <c r="R162" i="8"/>
  <c r="K162" i="8"/>
  <c r="J162" i="8"/>
  <c r="P162" i="8"/>
  <c r="R163" i="8"/>
  <c r="V163" i="8"/>
  <c r="P163" i="8"/>
  <c r="K163" i="8"/>
  <c r="J163" i="8"/>
  <c r="J147" i="8"/>
  <c r="P147" i="8"/>
  <c r="V147" i="8"/>
  <c r="K147" i="8"/>
  <c r="R147" i="8"/>
  <c r="J87" i="8"/>
  <c r="R87" i="8"/>
  <c r="P87" i="8"/>
  <c r="V87" i="8"/>
  <c r="K87" i="8"/>
  <c r="U144" i="8"/>
  <c r="Q144" i="8"/>
  <c r="O144" i="8"/>
  <c r="U166" i="8"/>
  <c r="Q166" i="8"/>
  <c r="O166" i="8"/>
  <c r="U99" i="8"/>
  <c r="O99" i="8"/>
  <c r="Q99" i="8"/>
  <c r="U100" i="8"/>
  <c r="O100" i="8"/>
  <c r="Q100" i="8"/>
  <c r="V107" i="8"/>
  <c r="J107" i="8"/>
  <c r="R107" i="8"/>
  <c r="K107" i="8"/>
  <c r="P107" i="8"/>
  <c r="O120" i="8"/>
  <c r="U120" i="8"/>
  <c r="Q120" i="8"/>
  <c r="K81" i="8"/>
  <c r="P81" i="8"/>
  <c r="J81" i="8"/>
  <c r="R81" i="8"/>
  <c r="V81" i="8"/>
  <c r="O109" i="8"/>
  <c r="Q109" i="8"/>
  <c r="U109" i="8"/>
  <c r="J111" i="8"/>
  <c r="P111" i="8"/>
  <c r="K111" i="8"/>
  <c r="R111" i="8"/>
  <c r="V111" i="8"/>
  <c r="U89" i="8"/>
  <c r="O89" i="8"/>
  <c r="Q89" i="8"/>
  <c r="O112" i="8"/>
  <c r="Q112" i="8"/>
  <c r="U112" i="8"/>
  <c r="O132" i="8"/>
  <c r="Q132" i="8"/>
  <c r="U132" i="8"/>
  <c r="R83" i="8"/>
  <c r="P83" i="8"/>
  <c r="V83" i="8"/>
  <c r="J83" i="8"/>
  <c r="K83" i="8"/>
  <c r="R114" i="8"/>
  <c r="V114" i="8"/>
  <c r="J114" i="8"/>
  <c r="P114" i="8"/>
  <c r="K114" i="8"/>
  <c r="P138" i="8"/>
  <c r="V138" i="8"/>
  <c r="R138" i="8"/>
  <c r="J138" i="8"/>
  <c r="K138" i="8"/>
  <c r="O94" i="8"/>
  <c r="Q94" i="8"/>
  <c r="U94" i="8"/>
  <c r="U126" i="8"/>
  <c r="O126" i="8"/>
  <c r="Q126" i="8"/>
  <c r="R145" i="8"/>
  <c r="J145" i="8"/>
  <c r="K145" i="8"/>
  <c r="V145" i="8"/>
  <c r="P145" i="8"/>
  <c r="Q143" i="8"/>
  <c r="O143" i="8"/>
  <c r="U143" i="8"/>
  <c r="P93" i="8"/>
  <c r="R93" i="8"/>
  <c r="V93" i="8"/>
  <c r="K93" i="8"/>
  <c r="J93" i="8"/>
  <c r="Q85" i="8"/>
  <c r="O85" i="8"/>
  <c r="U85" i="8"/>
  <c r="U110" i="8"/>
  <c r="O110" i="8"/>
  <c r="Q110" i="8"/>
  <c r="O82" i="8"/>
  <c r="Q82" i="8"/>
  <c r="U82" i="8"/>
  <c r="O123" i="8"/>
  <c r="Q123" i="8"/>
  <c r="U123" i="8"/>
  <c r="K108" i="8"/>
  <c r="R108" i="8"/>
  <c r="J108" i="8"/>
  <c r="P108" i="8"/>
  <c r="V108" i="8"/>
  <c r="U146" i="8"/>
  <c r="O146" i="8"/>
  <c r="Q146" i="8"/>
  <c r="O97" i="8"/>
  <c r="Q97" i="8"/>
  <c r="U97" i="8"/>
  <c r="U130" i="8"/>
  <c r="Q130" i="8"/>
  <c r="O130" i="8"/>
  <c r="P168" i="8"/>
  <c r="J168" i="8"/>
  <c r="R168" i="8"/>
  <c r="K168" i="8"/>
  <c r="V168" i="8"/>
  <c r="Q151" i="8"/>
  <c r="U151" i="8"/>
  <c r="O151" i="8"/>
  <c r="V148" i="8"/>
  <c r="R148" i="8"/>
  <c r="K148" i="8"/>
  <c r="J148" i="8"/>
  <c r="P148" i="8"/>
  <c r="K158" i="8"/>
  <c r="V158" i="8"/>
  <c r="R158" i="8"/>
  <c r="J158" i="8"/>
  <c r="P158" i="8"/>
  <c r="O90" i="8"/>
  <c r="Q90" i="8"/>
  <c r="U90" i="8"/>
  <c r="O139" i="8"/>
  <c r="Q139" i="8"/>
  <c r="U139" i="8"/>
  <c r="K90" i="8"/>
  <c r="V90" i="8"/>
  <c r="P90" i="8"/>
  <c r="R90" i="8"/>
  <c r="J90" i="8"/>
  <c r="Q103" i="8"/>
  <c r="U103" i="8"/>
  <c r="O103" i="8"/>
  <c r="P139" i="8"/>
  <c r="R139" i="8"/>
  <c r="V139" i="8"/>
  <c r="K139" i="8"/>
  <c r="J139" i="8"/>
  <c r="R140" i="8"/>
  <c r="P140" i="8"/>
  <c r="K140" i="8"/>
  <c r="J140" i="8"/>
  <c r="V140" i="8"/>
  <c r="O155" i="8"/>
  <c r="Q155" i="8"/>
  <c r="U155" i="8"/>
  <c r="U154" i="8"/>
  <c r="O154" i="8"/>
  <c r="Q154" i="8"/>
  <c r="O102" i="8"/>
  <c r="U102" i="8"/>
  <c r="Q102" i="8"/>
  <c r="O157" i="8"/>
  <c r="U157" i="8"/>
  <c r="Q157" i="8"/>
  <c r="P92" i="8"/>
  <c r="V92" i="8"/>
  <c r="K92" i="8"/>
  <c r="J92" i="8"/>
  <c r="R92" i="8"/>
  <c r="Q165" i="8"/>
  <c r="U165" i="8"/>
  <c r="O165" i="8"/>
  <c r="O150" i="8"/>
  <c r="Q150" i="8"/>
  <c r="U150" i="8"/>
  <c r="V160" i="8"/>
  <c r="J160" i="8"/>
  <c r="R160" i="8"/>
  <c r="K160" i="8"/>
  <c r="P160" i="8"/>
  <c r="P116" i="8"/>
  <c r="K116" i="8"/>
  <c r="J116" i="8"/>
  <c r="V116" i="8"/>
  <c r="R116" i="8"/>
  <c r="Q127" i="8"/>
  <c r="U127" i="8"/>
  <c r="O127" i="8"/>
  <c r="R170" i="8"/>
  <c r="J170" i="8"/>
  <c r="V170" i="8"/>
  <c r="P170" i="8"/>
  <c r="K170" i="8"/>
  <c r="K124" i="8"/>
  <c r="R124" i="8"/>
  <c r="P124" i="8"/>
  <c r="V124" i="8"/>
  <c r="J124" i="8"/>
  <c r="K121" i="8"/>
  <c r="R121" i="8"/>
  <c r="P121" i="8"/>
  <c r="V121" i="8"/>
  <c r="J121" i="8"/>
  <c r="P134" i="8"/>
  <c r="R134" i="8"/>
  <c r="K134" i="8"/>
  <c r="V134" i="8"/>
  <c r="J134" i="8"/>
  <c r="O117" i="8"/>
  <c r="U117" i="8"/>
  <c r="Q117" i="8"/>
  <c r="V135" i="8"/>
  <c r="K135" i="8"/>
  <c r="R135" i="8"/>
  <c r="J135" i="8"/>
  <c r="P135" i="8"/>
  <c r="AS6" i="15"/>
  <c r="J141" i="8"/>
  <c r="R141" i="8"/>
  <c r="V141" i="8"/>
  <c r="K141" i="8"/>
  <c r="P141" i="8"/>
  <c r="R164" i="8"/>
  <c r="J164" i="8"/>
  <c r="P164" i="8"/>
  <c r="K164" i="8"/>
  <c r="V164" i="8"/>
  <c r="Q133" i="8"/>
  <c r="U133" i="8"/>
  <c r="O133" i="8"/>
  <c r="Q162" i="8"/>
  <c r="U162" i="8"/>
  <c r="O162" i="8"/>
  <c r="U163" i="8"/>
  <c r="O163" i="8"/>
  <c r="Q163" i="8"/>
  <c r="O147" i="8"/>
  <c r="U147" i="8"/>
  <c r="Q147" i="8"/>
  <c r="O87" i="8"/>
  <c r="Q87" i="8"/>
  <c r="U87" i="8"/>
  <c r="V144" i="8"/>
  <c r="J144" i="8"/>
  <c r="K144" i="8"/>
  <c r="P144" i="8"/>
  <c r="R144" i="8"/>
  <c r="J166" i="8"/>
  <c r="R166" i="8"/>
  <c r="K166" i="8"/>
  <c r="V166" i="8"/>
  <c r="P166" i="8"/>
  <c r="R99" i="8"/>
  <c r="V99" i="8"/>
  <c r="J99" i="8"/>
  <c r="K99" i="8"/>
  <c r="P99" i="8"/>
  <c r="V100" i="8"/>
  <c r="K100" i="8"/>
  <c r="J100" i="8"/>
  <c r="P100" i="8"/>
  <c r="R100" i="8"/>
  <c r="Q107" i="8"/>
  <c r="O107" i="8"/>
  <c r="U107" i="8"/>
  <c r="V120" i="8"/>
  <c r="K120" i="8"/>
  <c r="J120" i="8"/>
  <c r="P120" i="8"/>
  <c r="R120" i="8"/>
  <c r="O81" i="8"/>
  <c r="U81" i="8"/>
  <c r="Q81" i="8"/>
  <c r="R109" i="8"/>
  <c r="K109" i="8"/>
  <c r="J109" i="8"/>
  <c r="P109" i="8"/>
  <c r="V109" i="8"/>
  <c r="O111" i="8"/>
  <c r="Q111" i="8"/>
  <c r="U111" i="8"/>
  <c r="J89" i="8"/>
  <c r="P89" i="8"/>
  <c r="V89" i="8"/>
  <c r="R89" i="8"/>
  <c r="K89" i="8"/>
  <c r="P112" i="8"/>
  <c r="J112" i="8"/>
  <c r="K112" i="8"/>
  <c r="V112" i="8"/>
  <c r="R112" i="8"/>
  <c r="R132" i="8"/>
  <c r="J132" i="8"/>
  <c r="V132" i="8"/>
  <c r="K132" i="8"/>
  <c r="P132" i="8"/>
  <c r="U83" i="8"/>
  <c r="Q83" i="8"/>
  <c r="O83" i="8"/>
  <c r="U114" i="8"/>
  <c r="Q114" i="8"/>
  <c r="O114" i="8"/>
  <c r="Q138" i="8"/>
  <c r="O138" i="8"/>
  <c r="U138" i="8"/>
  <c r="J94" i="8"/>
  <c r="R94" i="8"/>
  <c r="K94" i="8"/>
  <c r="P94" i="8"/>
  <c r="V94" i="8"/>
  <c r="K126" i="8"/>
  <c r="V126" i="8"/>
  <c r="R126" i="8"/>
  <c r="J126" i="8"/>
  <c r="P126" i="8"/>
  <c r="O145" i="8"/>
  <c r="Q145" i="8"/>
  <c r="U145" i="8"/>
  <c r="J143" i="8"/>
  <c r="R143" i="8"/>
  <c r="K143" i="8"/>
  <c r="P143" i="8"/>
  <c r="V143" i="8"/>
  <c r="M81" i="8" l="1"/>
  <c r="M79" i="8"/>
  <c r="M66" i="8"/>
  <c r="M70" i="8"/>
  <c r="M69" i="8"/>
  <c r="M71" i="8"/>
  <c r="M72" i="8"/>
  <c r="M74" i="8"/>
  <c r="M73" i="8"/>
  <c r="M76" i="8"/>
  <c r="M75" i="8"/>
  <c r="M77" i="8"/>
  <c r="M78" i="8"/>
  <c r="M68" i="8"/>
  <c r="M67" i="8"/>
  <c r="M143" i="8"/>
  <c r="M112" i="8"/>
  <c r="M108" i="8"/>
  <c r="AT6" i="15"/>
  <c r="AS7" i="15"/>
  <c r="AT7" i="15" s="1"/>
  <c r="M170" i="8"/>
  <c r="M148" i="8"/>
  <c r="AT2" i="15"/>
  <c r="AS3" i="15"/>
  <c r="AT3" i="15" s="1"/>
  <c r="M127" i="8"/>
  <c r="M150" i="8"/>
  <c r="M155" i="8"/>
  <c r="M129" i="8"/>
  <c r="M130" i="8"/>
  <c r="M88" i="8"/>
  <c r="M94" i="8"/>
  <c r="M99" i="8"/>
  <c r="AS22" i="15"/>
  <c r="M158" i="8"/>
  <c r="M114" i="8"/>
  <c r="M107" i="8"/>
  <c r="M87" i="8"/>
  <c r="M133" i="8"/>
  <c r="M165" i="8"/>
  <c r="M157" i="8"/>
  <c r="M103" i="8"/>
  <c r="M169" i="8"/>
  <c r="M137" i="8"/>
  <c r="M105" i="8"/>
  <c r="M152" i="8"/>
  <c r="M128" i="8"/>
  <c r="M98" i="8"/>
  <c r="M146" i="8"/>
  <c r="M119" i="8"/>
  <c r="M80" i="8"/>
  <c r="M84" i="8"/>
  <c r="M82" i="8"/>
  <c r="M106" i="8"/>
  <c r="M118" i="8"/>
  <c r="M131" i="8"/>
  <c r="M125" i="8"/>
  <c r="M138" i="8"/>
  <c r="M126" i="8"/>
  <c r="M109" i="8"/>
  <c r="AS18" i="15"/>
  <c r="M167" i="8"/>
  <c r="M96" i="8"/>
  <c r="M151" i="8"/>
  <c r="M95" i="8"/>
  <c r="M159" i="8"/>
  <c r="M97" i="8"/>
  <c r="M136" i="8"/>
  <c r="M115" i="8"/>
  <c r="M110" i="8"/>
  <c r="M104" i="8"/>
  <c r="M113" i="8"/>
  <c r="M149" i="8"/>
  <c r="M161" i="8"/>
  <c r="M144" i="8"/>
  <c r="M141" i="8"/>
  <c r="M135" i="8"/>
  <c r="M163" i="8"/>
  <c r="M117" i="8"/>
  <c r="M132" i="8"/>
  <c r="M120" i="8"/>
  <c r="M100" i="8"/>
  <c r="AS12" i="15"/>
  <c r="M121" i="8"/>
  <c r="M160" i="8"/>
  <c r="M92" i="8"/>
  <c r="M90" i="8"/>
  <c r="M93" i="8"/>
  <c r="M83" i="8"/>
  <c r="M111" i="8"/>
  <c r="M162" i="8"/>
  <c r="M89" i="8"/>
  <c r="M166" i="8"/>
  <c r="M164" i="8"/>
  <c r="AS30" i="15"/>
  <c r="M134" i="8"/>
  <c r="M124" i="8"/>
  <c r="M116" i="8"/>
  <c r="M140" i="8"/>
  <c r="M139" i="8"/>
  <c r="M168" i="8"/>
  <c r="M145" i="8"/>
  <c r="M147" i="8"/>
  <c r="AS26" i="15"/>
  <c r="M102" i="8"/>
  <c r="M154" i="8"/>
  <c r="M122" i="8"/>
  <c r="M91" i="8"/>
  <c r="M101" i="8"/>
  <c r="M153" i="8"/>
  <c r="M123" i="8"/>
  <c r="M85" i="8"/>
  <c r="M86" i="8"/>
  <c r="M156" i="8"/>
  <c r="M142" i="8"/>
  <c r="AT30" i="15" l="1"/>
  <c r="AS31" i="15"/>
  <c r="AT31" i="15" s="1"/>
  <c r="AT12" i="15"/>
  <c r="AS13" i="15"/>
  <c r="AT13" i="15" s="1"/>
  <c r="AS23" i="15"/>
  <c r="AT23" i="15" s="1"/>
  <c r="AT22" i="15"/>
  <c r="AS19" i="15"/>
  <c r="AT19" i="15" s="1"/>
  <c r="AT18" i="15"/>
  <c r="AT26" i="15"/>
  <c r="AS27" i="15"/>
  <c r="AT27" i="15" s="1"/>
  <c r="AU2" i="15"/>
  <c r="AU6" i="15"/>
  <c r="AU18" i="15" l="1"/>
  <c r="AU12" i="15"/>
  <c r="AU22" i="15"/>
  <c r="AU26" i="15"/>
  <c r="AU30" i="15"/>
  <c r="K488" i="14" l="1"/>
  <c r="K487" i="14" l="1"/>
  <c r="K486" i="14" s="1"/>
  <c r="K485" i="14" s="1"/>
  <c r="K484" i="14" s="1"/>
  <c r="K483" i="14" s="1"/>
  <c r="K482" i="14" s="1"/>
  <c r="K481" i="14" s="1"/>
  <c r="K480" i="14" s="1"/>
  <c r="K479" i="14" s="1"/>
  <c r="K478" i="14" s="1"/>
  <c r="K477" i="14" s="1"/>
  <c r="K476" i="14" s="1"/>
  <c r="K475" i="14" s="1"/>
  <c r="K474" i="14" s="1"/>
  <c r="K473" i="14" s="1"/>
  <c r="K472" i="14" s="1"/>
  <c r="K471" i="14" s="1"/>
  <c r="K470" i="14" s="1"/>
  <c r="K469" i="14" s="1"/>
  <c r="K468" i="14" s="1"/>
  <c r="K467" i="14" s="1"/>
  <c r="K466" i="14" s="1"/>
  <c r="K465" i="14" s="1"/>
  <c r="K464" i="14" s="1"/>
  <c r="K463" i="14" s="1"/>
  <c r="K462" i="14" s="1"/>
  <c r="K461" i="14" s="1"/>
  <c r="K460" i="14" s="1"/>
  <c r="K459" i="14" s="1"/>
  <c r="K458" i="14" s="1"/>
  <c r="K457" i="14" s="1"/>
  <c r="K456" i="14" s="1"/>
  <c r="K455" i="14" s="1"/>
  <c r="K454" i="14" s="1"/>
  <c r="K453" i="14" s="1"/>
  <c r="K452" i="14" s="1"/>
  <c r="K451" i="14" s="1"/>
  <c r="K450" i="14" s="1"/>
  <c r="K449" i="14" s="1"/>
  <c r="K448" i="14" s="1"/>
  <c r="K447" i="14" s="1"/>
  <c r="K446" i="14" s="1"/>
  <c r="K445" i="14" s="1"/>
  <c r="K444" i="14" s="1"/>
  <c r="K443" i="14" s="1"/>
  <c r="K442" i="14" s="1"/>
  <c r="K441" i="14" s="1"/>
  <c r="K440" i="14" s="1"/>
  <c r="K439" i="14" s="1"/>
  <c r="K438" i="14" s="1"/>
  <c r="K437" i="14" s="1"/>
  <c r="K436" i="14" s="1"/>
  <c r="K435" i="14" s="1"/>
  <c r="K434" i="14" s="1"/>
  <c r="K433" i="14" s="1"/>
  <c r="K432" i="14" s="1"/>
  <c r="K431" i="14" s="1"/>
  <c r="K430" i="14" s="1"/>
  <c r="K429" i="14" s="1"/>
  <c r="K428" i="14" s="1"/>
  <c r="K427" i="14" s="1"/>
  <c r="K426" i="14" s="1"/>
  <c r="K425" i="14" s="1"/>
  <c r="K424" i="14" s="1"/>
  <c r="K423" i="14" s="1"/>
  <c r="K422" i="14" s="1"/>
  <c r="K421" i="14" s="1"/>
  <c r="K420" i="14" s="1"/>
  <c r="K419" i="14" s="1"/>
  <c r="K418" i="14" s="1"/>
  <c r="K417" i="14" s="1"/>
  <c r="K416" i="14" s="1"/>
  <c r="K415" i="14" s="1"/>
  <c r="K414" i="14" s="1"/>
  <c r="K413" i="14" s="1"/>
  <c r="K412" i="14" s="1"/>
  <c r="K411" i="14" s="1"/>
  <c r="K410" i="14" s="1"/>
  <c r="K409" i="14" s="1"/>
  <c r="K408" i="14" s="1"/>
  <c r="K407" i="14" s="1"/>
  <c r="K406" i="14" s="1"/>
  <c r="K405" i="14" s="1"/>
  <c r="K404" i="14" s="1"/>
  <c r="K403" i="14" s="1"/>
  <c r="K402" i="14" s="1"/>
  <c r="K401" i="14" s="1"/>
  <c r="K400" i="14" s="1"/>
  <c r="K399" i="14" s="1"/>
  <c r="K398" i="14" s="1"/>
  <c r="K397" i="14" s="1"/>
  <c r="K396" i="14" s="1"/>
  <c r="K395" i="14" s="1"/>
  <c r="K394" i="14" s="1"/>
  <c r="K393" i="14" s="1"/>
  <c r="K392" i="14" s="1"/>
  <c r="K391" i="14" s="1"/>
  <c r="K390" i="14" s="1"/>
  <c r="K389" i="14" s="1"/>
  <c r="K388" i="14" s="1"/>
  <c r="K387" i="14" s="1"/>
  <c r="K386" i="14" s="1"/>
  <c r="K385" i="14" s="1"/>
  <c r="K384" i="14" s="1"/>
  <c r="K383" i="14" s="1"/>
  <c r="K382" i="14" s="1"/>
  <c r="K381" i="14" s="1"/>
  <c r="K380" i="14" s="1"/>
  <c r="K379" i="14" s="1"/>
  <c r="K378" i="14" s="1"/>
  <c r="K377" i="14" s="1"/>
  <c r="K376" i="14" s="1"/>
  <c r="K375" i="14" s="1"/>
  <c r="K374" i="14" s="1"/>
  <c r="K373" i="14" s="1"/>
  <c r="K372" i="14" s="1"/>
  <c r="K371" i="14" s="1"/>
  <c r="K370" i="14" s="1"/>
  <c r="K369" i="14" s="1"/>
  <c r="K368" i="14" s="1"/>
  <c r="K367" i="14" s="1"/>
  <c r="K366" i="14" s="1"/>
  <c r="K365" i="14" s="1"/>
  <c r="K364" i="14" s="1"/>
  <c r="K363" i="14" s="1"/>
  <c r="K362" i="14" s="1"/>
  <c r="K361" i="14" s="1"/>
  <c r="K360" i="14" s="1"/>
  <c r="K359" i="14" s="1"/>
  <c r="K358" i="14" s="1"/>
  <c r="K357" i="14" s="1"/>
  <c r="K356" i="14" s="1"/>
  <c r="K355" i="14" s="1"/>
  <c r="K354" i="14" s="1"/>
  <c r="K353" i="14" s="1"/>
  <c r="K352" i="14" s="1"/>
  <c r="K351" i="14" s="1"/>
  <c r="K350" i="14" s="1"/>
  <c r="K349" i="14" s="1"/>
  <c r="K348" i="14" s="1"/>
  <c r="K347" i="14" s="1"/>
  <c r="K346" i="14" s="1"/>
  <c r="K345" i="14" s="1"/>
  <c r="K344" i="14" s="1"/>
  <c r="K343" i="14" s="1"/>
  <c r="K342" i="14" s="1"/>
  <c r="K341" i="14" s="1"/>
  <c r="K340" i="14" s="1"/>
  <c r="K339" i="14" s="1"/>
  <c r="K338" i="14" s="1"/>
  <c r="K337" i="14" s="1"/>
  <c r="K336" i="14" s="1"/>
  <c r="K335" i="14" s="1"/>
  <c r="K334" i="14" s="1"/>
  <c r="K333" i="14" s="1"/>
  <c r="K332" i="14" s="1"/>
  <c r="K331" i="14" s="1"/>
  <c r="K330" i="14" s="1"/>
  <c r="K329" i="14" s="1"/>
  <c r="K328" i="14" s="1"/>
  <c r="K327" i="14" s="1"/>
  <c r="K326" i="14" s="1"/>
  <c r="K325" i="14" s="1"/>
  <c r="K324" i="14" s="1"/>
  <c r="K323" i="14" s="1"/>
  <c r="K322" i="14" s="1"/>
  <c r="K321" i="14" s="1"/>
  <c r="K320" i="14" s="1"/>
  <c r="K319" i="14" s="1"/>
  <c r="K318" i="14" s="1"/>
  <c r="K317" i="14" s="1"/>
  <c r="K316" i="14" s="1"/>
  <c r="K315" i="14" s="1"/>
  <c r="K314" i="14" s="1"/>
  <c r="K313" i="14" s="1"/>
  <c r="K312" i="14" s="1"/>
  <c r="K311" i="14" s="1"/>
  <c r="K310" i="14" s="1"/>
  <c r="K309" i="14" s="1"/>
  <c r="K308" i="14" s="1"/>
  <c r="K307" i="14" s="1"/>
  <c r="K306" i="14" s="1"/>
  <c r="K305" i="14" s="1"/>
  <c r="K304" i="14" s="1"/>
  <c r="K303" i="14" s="1"/>
  <c r="K302" i="14" s="1"/>
  <c r="K301" i="14" s="1"/>
  <c r="K300" i="14" s="1"/>
  <c r="K299" i="14" s="1"/>
  <c r="K298" i="14" s="1"/>
  <c r="K297" i="14" s="1"/>
  <c r="K296" i="14" s="1"/>
  <c r="K295" i="14" s="1"/>
  <c r="K294" i="14" s="1"/>
  <c r="K293" i="14" s="1"/>
  <c r="K292" i="14" s="1"/>
  <c r="K291" i="14" s="1"/>
  <c r="K290" i="14" s="1"/>
  <c r="K289" i="14" s="1"/>
  <c r="K288" i="14" s="1"/>
  <c r="K287" i="14" s="1"/>
  <c r="K286" i="14" s="1"/>
  <c r="K285" i="14" s="1"/>
  <c r="K284" i="14" s="1"/>
  <c r="K283" i="14" s="1"/>
  <c r="K282" i="14" s="1"/>
  <c r="K281" i="14" s="1"/>
  <c r="K280" i="14" s="1"/>
  <c r="K279" i="14" s="1"/>
  <c r="K278" i="14" s="1"/>
  <c r="K277" i="14" s="1"/>
  <c r="K276" i="14" s="1"/>
  <c r="K275" i="14" s="1"/>
  <c r="K274" i="14" s="1"/>
  <c r="K273" i="14" s="1"/>
  <c r="K272" i="14" s="1"/>
  <c r="K271" i="14" s="1"/>
  <c r="K270" i="14" s="1"/>
  <c r="K269" i="14" s="1"/>
  <c r="K268" i="14" s="1"/>
  <c r="K267" i="14" s="1"/>
  <c r="K266" i="14" s="1"/>
  <c r="K265" i="14" s="1"/>
  <c r="K264" i="14" s="1"/>
  <c r="K263" i="14" s="1"/>
  <c r="K262" i="14" s="1"/>
  <c r="K261" i="14" s="1"/>
  <c r="K260" i="14" s="1"/>
  <c r="K259" i="14" s="1"/>
  <c r="K258" i="14" s="1"/>
  <c r="K257" i="14" s="1"/>
  <c r="K256" i="14" s="1"/>
  <c r="K255" i="14" s="1"/>
  <c r="K254" i="14" s="1"/>
  <c r="K253" i="14" s="1"/>
  <c r="K252" i="14" s="1"/>
  <c r="K251" i="14" s="1"/>
  <c r="K250" i="14" s="1"/>
  <c r="K249" i="14" s="1"/>
  <c r="K248" i="14" s="1"/>
  <c r="K247" i="14" s="1"/>
  <c r="K246" i="14" s="1"/>
  <c r="K245" i="14" s="1"/>
  <c r="K244" i="14" s="1"/>
  <c r="K243" i="14" s="1"/>
  <c r="K242" i="14" s="1"/>
  <c r="K241" i="14" s="1"/>
  <c r="K240" i="14" s="1"/>
  <c r="K239" i="14" s="1"/>
  <c r="K238" i="14" s="1"/>
  <c r="K237" i="14" s="1"/>
  <c r="K236" i="14" s="1"/>
  <c r="K235" i="14" s="1"/>
  <c r="K234" i="14" s="1"/>
  <c r="K233" i="14" s="1"/>
  <c r="K232" i="14" s="1"/>
  <c r="K231" i="14" s="1"/>
  <c r="K230" i="14" s="1"/>
  <c r="K229" i="14" s="1"/>
  <c r="K228" i="14" s="1"/>
  <c r="K227" i="14" s="1"/>
  <c r="K226" i="14" s="1"/>
  <c r="K225" i="14" s="1"/>
  <c r="K224" i="14" s="1"/>
  <c r="K223" i="14" s="1"/>
  <c r="K222" i="14" s="1"/>
  <c r="K221" i="14" s="1"/>
  <c r="K220" i="14" s="1"/>
  <c r="K219" i="14" s="1"/>
  <c r="K218" i="14" s="1"/>
  <c r="K217" i="14" s="1"/>
  <c r="K216" i="14" s="1"/>
  <c r="K215" i="14" s="1"/>
  <c r="K214" i="14" s="1"/>
  <c r="K213" i="14" s="1"/>
  <c r="K212" i="14" s="1"/>
  <c r="K211" i="14" s="1"/>
  <c r="K210" i="14" s="1"/>
  <c r="K209" i="14" s="1"/>
  <c r="K208" i="14" s="1"/>
  <c r="K207" i="14" s="1"/>
  <c r="K206" i="14" s="1"/>
  <c r="K205" i="14" s="1"/>
  <c r="K204" i="14" s="1"/>
  <c r="K203" i="14" s="1"/>
  <c r="K202" i="14" s="1"/>
  <c r="K201" i="14" s="1"/>
  <c r="K200" i="14" s="1"/>
  <c r="K199" i="14" s="1"/>
  <c r="K198" i="14" s="1"/>
  <c r="K197" i="14" s="1"/>
  <c r="K196" i="14" s="1"/>
  <c r="K195" i="14" s="1"/>
  <c r="K194" i="14" s="1"/>
  <c r="K193" i="14" s="1"/>
  <c r="K192" i="14" s="1"/>
  <c r="K191" i="14" s="1"/>
  <c r="K190" i="14" s="1"/>
  <c r="K189" i="14" s="1"/>
  <c r="K188" i="14" s="1"/>
  <c r="K187" i="14" s="1"/>
  <c r="K186" i="14" s="1"/>
  <c r="K185" i="14" s="1"/>
  <c r="K184" i="14" s="1"/>
  <c r="K183" i="14" s="1"/>
  <c r="K182" i="14" s="1"/>
  <c r="K181" i="14" s="1"/>
  <c r="K180" i="14" s="1"/>
  <c r="K179" i="14" s="1"/>
  <c r="K178" i="14" s="1"/>
  <c r="K177" i="14" s="1"/>
  <c r="K176" i="14" s="1"/>
  <c r="K175" i="14" s="1"/>
  <c r="K174" i="14" s="1"/>
  <c r="K173" i="14" s="1"/>
  <c r="K172" i="14" s="1"/>
  <c r="K171" i="14" s="1"/>
  <c r="K170" i="14" s="1"/>
  <c r="K169" i="14" s="1"/>
  <c r="K168" i="14" s="1"/>
  <c r="K167" i="14" s="1"/>
  <c r="K166" i="14" s="1"/>
  <c r="K165" i="14" s="1"/>
  <c r="K164" i="14" s="1"/>
  <c r="K163" i="14" s="1"/>
  <c r="K162" i="14" s="1"/>
  <c r="K161" i="14" s="1"/>
  <c r="K160" i="14" s="1"/>
  <c r="K159" i="14" s="1"/>
  <c r="K158" i="14" s="1"/>
  <c r="K157" i="14" s="1"/>
  <c r="K156" i="14" s="1"/>
  <c r="K155" i="14" s="1"/>
  <c r="K154" i="14" s="1"/>
  <c r="K153" i="14" s="1"/>
  <c r="K152" i="14" s="1"/>
  <c r="K151" i="14" s="1"/>
  <c r="K150" i="14" s="1"/>
  <c r="K149" i="14" s="1"/>
  <c r="K148" i="14" s="1"/>
  <c r="K147" i="14" s="1"/>
  <c r="K146" i="14" s="1"/>
  <c r="K145" i="14" s="1"/>
  <c r="K144" i="14" s="1"/>
  <c r="K143" i="14" s="1"/>
  <c r="K142" i="14" s="1"/>
  <c r="K141" i="14" s="1"/>
  <c r="K140" i="14" s="1"/>
  <c r="K139" i="14" s="1"/>
  <c r="K138" i="14" s="1"/>
  <c r="K137" i="14" s="1"/>
  <c r="K136" i="14" s="1"/>
  <c r="K135" i="14" s="1"/>
  <c r="K134" i="14" s="1"/>
  <c r="K133" i="14" s="1"/>
  <c r="K132" i="14" s="1"/>
  <c r="K131" i="14" s="1"/>
  <c r="K130" i="14" s="1"/>
  <c r="K129" i="14" s="1"/>
  <c r="K128" i="14" s="1"/>
  <c r="K127" i="14" s="1"/>
  <c r="K126" i="14" s="1"/>
  <c r="K125" i="14" s="1"/>
  <c r="K124" i="14" s="1"/>
  <c r="K123" i="14" s="1"/>
  <c r="K122" i="14" s="1"/>
  <c r="K121" i="14" s="1"/>
  <c r="K120" i="14" s="1"/>
  <c r="K119" i="14" s="1"/>
  <c r="K118" i="14" s="1"/>
  <c r="K117" i="14" s="1"/>
  <c r="K116" i="14" s="1"/>
  <c r="K115" i="14" s="1"/>
  <c r="K114" i="14" s="1"/>
  <c r="K113" i="14" s="1"/>
  <c r="K112" i="14" s="1"/>
  <c r="K111" i="14" s="1"/>
  <c r="K110" i="14" s="1"/>
  <c r="K109" i="14" s="1"/>
  <c r="K108" i="14" s="1"/>
  <c r="K107" i="14" s="1"/>
  <c r="K106" i="14" s="1"/>
  <c r="K105" i="14" s="1"/>
  <c r="K104" i="14" s="1"/>
  <c r="K103" i="14" s="1"/>
  <c r="K102" i="14" s="1"/>
  <c r="K101" i="14" s="1"/>
  <c r="K100" i="14" s="1"/>
  <c r="K99" i="14" s="1"/>
  <c r="K98" i="14" s="1"/>
  <c r="K97" i="14" s="1"/>
  <c r="K96" i="14" s="1"/>
  <c r="K95" i="14" s="1"/>
  <c r="K94" i="14" s="1"/>
  <c r="K93" i="14" s="1"/>
  <c r="K92" i="14" s="1"/>
  <c r="K91" i="14" s="1"/>
  <c r="K90" i="14" s="1"/>
  <c r="K89" i="14" s="1"/>
  <c r="K88" i="14" s="1"/>
  <c r="K87" i="14" s="1"/>
  <c r="K86" i="14" s="1"/>
  <c r="K85" i="14" s="1"/>
  <c r="K84" i="14" s="1"/>
  <c r="K83" i="14" s="1"/>
  <c r="K82" i="14" s="1"/>
  <c r="K81" i="14" s="1"/>
  <c r="K80" i="14" s="1"/>
  <c r="K79" i="14" s="1"/>
  <c r="K78" i="14" s="1"/>
  <c r="K77" i="14" s="1"/>
  <c r="K76" i="14" s="1"/>
  <c r="K75" i="14" s="1"/>
  <c r="K74" i="14" s="1"/>
  <c r="K73" i="14" s="1"/>
  <c r="K72" i="14" s="1"/>
  <c r="K71" i="14" s="1"/>
  <c r="K70" i="14" s="1"/>
  <c r="K69" i="14" s="1"/>
  <c r="K68" i="14" s="1"/>
  <c r="K67" i="14" s="1"/>
  <c r="K66" i="14" s="1"/>
  <c r="K65" i="14" s="1"/>
  <c r="K64" i="14" s="1"/>
  <c r="K63" i="14" s="1"/>
  <c r="K62" i="14" s="1"/>
  <c r="K61" i="14" s="1"/>
  <c r="K60" i="14" s="1"/>
  <c r="K59" i="14" s="1"/>
  <c r="K58" i="14" s="1"/>
  <c r="K57" i="14" s="1"/>
  <c r="K56" i="14" s="1"/>
  <c r="K55" i="14" s="1"/>
  <c r="K54" i="14" s="1"/>
  <c r="K53" i="14" s="1"/>
  <c r="K52" i="14" s="1"/>
  <c r="K51" i="14" s="1"/>
  <c r="K50" i="14" s="1"/>
  <c r="K49" i="14" s="1"/>
  <c r="K48" i="14" s="1"/>
  <c r="K47" i="14" s="1"/>
  <c r="K46" i="14" s="1"/>
  <c r="K45" i="14" s="1"/>
  <c r="K44" i="14" s="1"/>
  <c r="K43" i="14" s="1"/>
  <c r="K42" i="14" s="1"/>
  <c r="K41" i="14" s="1"/>
  <c r="K40" i="14" s="1"/>
  <c r="K39" i="14" s="1"/>
  <c r="K38" i="14" s="1"/>
  <c r="K37" i="14" s="1"/>
  <c r="K36" i="14" s="1"/>
  <c r="K35" i="14" s="1"/>
  <c r="K34" i="14" s="1"/>
  <c r="K33" i="14" s="1"/>
  <c r="K32" i="14" s="1"/>
  <c r="K31" i="14" s="1"/>
  <c r="K30" i="14" s="1"/>
  <c r="K29" i="14" s="1"/>
  <c r="K28" i="14" s="1"/>
  <c r="K27" i="14" s="1"/>
  <c r="K26" i="14" s="1"/>
  <c r="K25" i="14" s="1"/>
  <c r="K24" i="14" s="1"/>
  <c r="K23" i="14" s="1"/>
  <c r="K22" i="14" s="1"/>
  <c r="K21" i="14" s="1"/>
  <c r="K20" i="14" s="1"/>
  <c r="K19" i="14" s="1"/>
  <c r="K18" i="14" s="1"/>
  <c r="K17" i="14" s="1"/>
  <c r="K16" i="14" s="1"/>
  <c r="K15" i="14" s="1"/>
  <c r="K14" i="14" s="1"/>
  <c r="K13" i="14" s="1"/>
  <c r="K12" i="14" s="1"/>
  <c r="K11" i="14" s="1"/>
  <c r="K10" i="14" s="1"/>
  <c r="K9" i="14" s="1"/>
  <c r="K8" i="14" s="1"/>
  <c r="K7" i="14" s="1"/>
  <c r="K6" i="14" s="1"/>
  <c r="K5" i="14" s="1"/>
  <c r="K4" i="14" s="1"/>
  <c r="K489" i="14" l="1"/>
  <c r="K490" i="14" s="1"/>
  <c r="K491" i="14" s="1"/>
  <c r="K492" i="14" s="1"/>
  <c r="K493" i="14" s="1"/>
  <c r="K494" i="14" s="1"/>
  <c r="K495" i="14" s="1"/>
  <c r="K496" i="14" s="1"/>
  <c r="K497" i="14" s="1"/>
  <c r="K498" i="14" s="1"/>
  <c r="K499" i="14" s="1"/>
  <c r="K500" i="14" s="1"/>
  <c r="K501" i="14" s="1"/>
  <c r="K502" i="14" s="1"/>
  <c r="K503" i="14" s="1"/>
  <c r="K504" i="14" s="1"/>
  <c r="K505" i="14" s="1"/>
  <c r="K506" i="14" s="1"/>
  <c r="K507" i="14" s="1"/>
  <c r="K508" i="14" s="1"/>
  <c r="K509" i="14" s="1"/>
  <c r="K510" i="14" s="1"/>
  <c r="K511" i="14" s="1"/>
  <c r="K512" i="14" s="1"/>
  <c r="K513" i="14" s="1"/>
  <c r="K514" i="14" s="1"/>
  <c r="K515" i="14" s="1"/>
  <c r="K516" i="14" s="1"/>
  <c r="K517" i="14" s="1"/>
  <c r="K518" i="14" s="1"/>
  <c r="K519" i="14" s="1"/>
  <c r="K520" i="14" s="1"/>
  <c r="K521" i="14" s="1"/>
  <c r="K522" i="14" s="1"/>
  <c r="K523" i="14" s="1"/>
</calcChain>
</file>

<file path=xl/sharedStrings.xml><?xml version="1.0" encoding="utf-8"?>
<sst xmlns="http://schemas.openxmlformats.org/spreadsheetml/2006/main" count="365" uniqueCount="288">
  <si>
    <t>Datum</t>
  </si>
  <si>
    <t>Hospitalisationsrate (ohne Intensivmedizin)</t>
  </si>
  <si>
    <t>Hospitalisationsraten</t>
  </si>
  <si>
    <t>Länge des Krankenhausaufenthalts in Tagen</t>
  </si>
  <si>
    <t>Faktor</t>
  </si>
  <si>
    <t>Wert</t>
  </si>
  <si>
    <t>Quelle</t>
  </si>
  <si>
    <t>Gelb hinterlegte Felder können angepasst werden.</t>
  </si>
  <si>
    <t>Strukturbedarf</t>
  </si>
  <si>
    <t>Masken pro Patient und Tag</t>
  </si>
  <si>
    <t>Robert-Koch-Institut, uptodate.com</t>
  </si>
  <si>
    <t>Rechenwert Beatmung</t>
  </si>
  <si>
    <t>Dutch Association of Medical Specialists</t>
  </si>
  <si>
    <t>Notwendige Strukturen (pro Tag)</t>
  </si>
  <si>
    <t>Robert-Koch-Institut (https://www.rki.de/DE/Content/InfAZ/N/Neuartiges_Coronavirus/Steckbrief.html?nn=13490888)</t>
  </si>
  <si>
    <t>Normalstation</t>
  </si>
  <si>
    <t>Quote</t>
  </si>
  <si>
    <t>Intensivstation</t>
  </si>
  <si>
    <t>Patienten pro Pflegekraft im Tagdienst</t>
  </si>
  <si>
    <t>Patienten pro Pflegekraft im Nachtdienst</t>
  </si>
  <si>
    <t>Benötigte Masken (Intensivstation)</t>
  </si>
  <si>
    <t>Schichtsystem</t>
  </si>
  <si>
    <t>Früh-, Spät- und Nachtdienst</t>
  </si>
  <si>
    <t>Belegte Betten Normalstation</t>
  </si>
  <si>
    <t>Belegte Betten Intensivstation</t>
  </si>
  <si>
    <t>Normalstunden Rechenwert</t>
  </si>
  <si>
    <t>Intensivstunden Rechenwert</t>
  </si>
  <si>
    <t>Einwohner im Einzugsgebiet</t>
  </si>
  <si>
    <t>Kumulierte Fallzahlen</t>
  </si>
  <si>
    <t>Erwartete Infektionsquote</t>
  </si>
  <si>
    <t>1. Woche</t>
  </si>
  <si>
    <t>2. Woche</t>
  </si>
  <si>
    <t>3. Woche</t>
  </si>
  <si>
    <t>4. Woche</t>
  </si>
  <si>
    <t>5. Woche</t>
  </si>
  <si>
    <t>6. Woche</t>
  </si>
  <si>
    <t>7. Woche</t>
  </si>
  <si>
    <t>8. Woche</t>
  </si>
  <si>
    <t>9. Woche</t>
  </si>
  <si>
    <t>10. Woche</t>
  </si>
  <si>
    <t>-1 Woche</t>
  </si>
  <si>
    <t>-2 Wochen</t>
  </si>
  <si>
    <t>-3 Wochen</t>
  </si>
  <si>
    <t>-4 Wochen</t>
  </si>
  <si>
    <t>Datum des höchsten Peaks</t>
  </si>
  <si>
    <t>Höchster Peak (Normalstation)</t>
  </si>
  <si>
    <t>Höchster Peak (Intensivstation)</t>
  </si>
  <si>
    <t>Erläuterung</t>
  </si>
  <si>
    <t>Die gesamte Einwohnerzahl des zu betrachtenden Einzugsgebiets.</t>
  </si>
  <si>
    <t>Falls die Gesamtentwicklung betrachtet werden soll: 100%</t>
  </si>
  <si>
    <t>Einwohneranteil Einzugsgebiet</t>
  </si>
  <si>
    <r>
      <rPr>
        <b/>
        <sz val="10"/>
        <rFont val="Arial"/>
        <family val="2"/>
      </rPr>
      <t xml:space="preserve">
Kontakt</t>
    </r>
    <r>
      <rPr>
        <sz val="10"/>
        <rFont val="Arial"/>
        <family val="2"/>
      </rPr>
      <t xml:space="preserve">
ZEQ AG
Am Victoria-Turm 2, 68165 Mannheim
Telefon: (0621) 300 840-0
E-Mail: info@zeq.de
www.zeq.de</t>
    </r>
  </si>
  <si>
    <t xml:space="preserve">Zur Aktualisierung des Rechners stehen Ihnen zwei Möglichkeiten zur Verfügung:
</t>
  </si>
  <si>
    <t>c. Alle weiteren Rechenschritte erfolgen automatisiert auf Basis der hinterlegten Fallzahlen. Sie können nach Aktualisierung der Fallzahlen die Prognoserechnungen durchführen.</t>
  </si>
  <si>
    <t>1. Laden Sie den regelmäßig mit veröffentlichten Fallzahlen aktualisierten ZEQ-Szenariorechner unter https://www.zeq.de/covid-19.html herunter.</t>
  </si>
  <si>
    <t>a. Öffnen Sie den Reiter "Fallzahlen (Berechnung)".</t>
  </si>
  <si>
    <r>
      <t xml:space="preserve">b. Stellen Sie sicher, dass in </t>
    </r>
    <r>
      <rPr>
        <b/>
        <sz val="11"/>
        <rFont val="Arial"/>
        <family val="2"/>
      </rPr>
      <t>allen</t>
    </r>
    <r>
      <rPr>
        <sz val="11"/>
        <rFont val="Arial"/>
        <family val="2"/>
      </rPr>
      <t xml:space="preserve"> gelb markierten Feldern in der Spalte E alle aktuellen Fallzahlen des ECDCs hinterlegt sind. Die Fallzahlen können unter https://qap.ecdc.europa.eu/public/extensions/COVID-19/COVID-19.html abgerufen werden. Grün markierte Felder sind mit Formel hinterlegt, die zur Prognoserechnung dienen. Bitte verändern Sie diese Formeln nicht, um die Funktion des Szenariorechners nicht einzuschränken.</t>
    </r>
  </si>
  <si>
    <t>Personalbedarf in 24 h</t>
  </si>
  <si>
    <t>Strukturdaten Pflegedienst</t>
  </si>
  <si>
    <t>Drei-Schicht-System (8h-Dienste)</t>
  </si>
  <si>
    <t>Patienten pro Arzt (IMC)</t>
  </si>
  <si>
    <t>Patienten pro Arzt (ICU)</t>
  </si>
  <si>
    <t>Pflegedienst</t>
  </si>
  <si>
    <t>Ärztlicher Dienst</t>
  </si>
  <si>
    <t>Hierzu liegen noch keine verlässlichen Daten vor. Der hinterlegte Wert von 64% beruht auf der Annahme, dass 80% der Patienten der Intensivstation beatmet werden müssen, davon 80% invasiv. Daraus ergibt sich ein Rechenwert für den ICU-Aufenthalt (80% x 80% = 64%).</t>
  </si>
  <si>
    <t>Normalstation Pflege</t>
  </si>
  <si>
    <t>Intensivstation Pflege</t>
  </si>
  <si>
    <t>Normalstation ÄD</t>
  </si>
  <si>
    <t>Intensivstation ÄD</t>
  </si>
  <si>
    <t>Strukturdaten Ärztlicher Dienst</t>
  </si>
  <si>
    <t>Mitarbeiterbedarf</t>
  </si>
  <si>
    <t>Patienten pro Arzt im Nachtdienst</t>
  </si>
  <si>
    <t>Patienten pro Arzt im Tagdienst</t>
  </si>
  <si>
    <r>
      <t xml:space="preserve">Die hinterlegten Quoten beruhen auf Empfehlungen von Dr. Ulf Dennler zur (bewältigbaren) Besetzung in </t>
    </r>
    <r>
      <rPr>
        <u/>
        <sz val="11"/>
        <rFont val="Arial"/>
        <family val="2"/>
      </rPr>
      <t>Krisen</t>
    </r>
    <r>
      <rPr>
        <sz val="11"/>
        <rFont val="Arial"/>
        <family val="2"/>
      </rPr>
      <t>zeiten.</t>
    </r>
  </si>
  <si>
    <t>Gebietsbezogen</t>
  </si>
  <si>
    <t>Rahmendaten (Gebietsbezogen)</t>
  </si>
  <si>
    <t>Anhand des regionalen Ausgangswerts</t>
  </si>
  <si>
    <t>Anteil des regionalen Ausgangswerts am Gesamtwert</t>
  </si>
  <si>
    <t>Hinterlegen Sie einen regionalen Ausgangswert oder wählen Sie eine andere Prognosebasis!</t>
  </si>
  <si>
    <t>Erwartete Infektionszahl (Regional)</t>
  </si>
  <si>
    <r>
      <t xml:space="preserve">3. Um die gebietsbezogene Fallzahlprognose zu nutzen, geben Sie im Reiter "Fallzahl (Berechnung)" in den orange markierten Feldern alle aktuellen, Ihnen zur Verfügung stehenden Fallzahlen des zu relevanten Einzugsgebiets an. </t>
    </r>
    <r>
      <rPr>
        <b/>
        <sz val="11"/>
        <rFont val="Arial"/>
        <family val="2"/>
      </rPr>
      <t>Wichtig:</t>
    </r>
    <r>
      <rPr>
        <sz val="11"/>
        <rFont val="Arial"/>
        <family val="2"/>
      </rPr>
      <t xml:space="preserve"> Geben sie den jeweiligen Zuwachs des entsprechenden Tages an, nicht die kumulierte Gesamtfallzahl des Tages. Es muss für mindestens einen der letzten vier Tage ein Fallzuwachs angegeben werden. Je genauer die hinterlegte Datenbasis, desto genauer die Prognose.</t>
    </r>
  </si>
  <si>
    <t>2. (Nur notwendig, wenn Sie nicht die aktuelle Version von der ZEQ-Homepage heruntergeladen haben) Um die Offline-Version des Rechners zu aktualisieren, befolgen Sie folgende Schritte:</t>
  </si>
  <si>
    <t>Anleitung zur Aktualisierung des ZEQ-Szenariorechners</t>
  </si>
  <si>
    <t>Hinweis</t>
  </si>
  <si>
    <t>Wert eingeben</t>
  </si>
  <si>
    <t>Kontakt</t>
  </si>
  <si>
    <r>
      <t xml:space="preserve">Beginn der Prognose
</t>
    </r>
    <r>
      <rPr>
        <sz val="10"/>
        <rFont val="Arial"/>
        <family val="2"/>
      </rPr>
      <t>(Datum)</t>
    </r>
  </si>
  <si>
    <t>Fallzahl-Zuwachs pro Tag</t>
  </si>
  <si>
    <r>
      <rPr>
        <b/>
        <sz val="10"/>
        <rFont val="Arial"/>
        <family val="2"/>
      </rPr>
      <t xml:space="preserve">Regionaler Ausgangswert
</t>
    </r>
    <r>
      <rPr>
        <sz val="10"/>
        <rFont val="Arial"/>
        <family val="2"/>
      </rPr>
      <t>(Bestätigte Fallzahlen zu Beginn der Prognose)</t>
    </r>
  </si>
  <si>
    <t>Gebietsbezogen: Dynamische Wachstumsrate</t>
  </si>
  <si>
    <t>Gebietsbezogen: Halbierte dynamische Wachstumsrate</t>
  </si>
  <si>
    <t>10% Wachstum</t>
  </si>
  <si>
    <t>Eine ausführliche Anleitung kann auf unserer Website heruntergeladen werden, auf der auch der Szenariorechner bereitsteht. www.zeq.de/covid-19</t>
  </si>
  <si>
    <t>Gebietsbezogen: Stabilisierte Wachstumsrate</t>
  </si>
  <si>
    <t>Gebietsbezogen: Halbierte Stabilisierte Wachstumsrate</t>
  </si>
  <si>
    <t>Einwohner Gebiet</t>
  </si>
  <si>
    <t>Fallzahlpotenzial</t>
  </si>
  <si>
    <t>Rahmendaten (Regionaler Ausgangswert)</t>
  </si>
  <si>
    <t>Beginn der Prognose</t>
  </si>
  <si>
    <t>https://qap.ecdc.europa.eu/public/extensions/COVID-19/COVID-19.html</t>
  </si>
  <si>
    <t>Prognosebasis</t>
  </si>
  <si>
    <t>Wachstumsrate</t>
  </si>
  <si>
    <t>Fehlermeldungen</t>
  </si>
  <si>
    <t>Ja/Nein</t>
  </si>
  <si>
    <t>Ja</t>
  </si>
  <si>
    <t>Nein</t>
  </si>
  <si>
    <t>Anzahl Tage für dynamische Wachstumsrate</t>
  </si>
  <si>
    <t>Parameter</t>
  </si>
  <si>
    <t>Anzahl Tage für stabilisierte Wachstumsrate</t>
  </si>
  <si>
    <t>vier</t>
  </si>
  <si>
    <t>sieben</t>
  </si>
  <si>
    <t>Auswahl</t>
  </si>
  <si>
    <t>Prognosebasis kurz</t>
  </si>
  <si>
    <t>Bevölkerungsanteil</t>
  </si>
  <si>
    <t>Gebietsbezogene FZ</t>
  </si>
  <si>
    <t>Hinterlegen Sie im Tabellenblatt "Fallzahlen (Berechnung)" in der orangefarbenen Spalte die gebietsbezogenen Fallzahlzuwächse</t>
  </si>
  <si>
    <t>Deutschland</t>
  </si>
  <si>
    <t>Einwohner</t>
  </si>
  <si>
    <t>Merkmal</t>
  </si>
  <si>
    <t>Schweiz</t>
  </si>
  <si>
    <t>Ì</t>
  </si>
  <si>
    <r>
      <rPr>
        <b/>
        <sz val="11"/>
        <rFont val="Arial"/>
        <family val="2"/>
      </rPr>
      <t>Kontakt</t>
    </r>
    <r>
      <rPr>
        <sz val="11"/>
        <rFont val="Arial"/>
        <family val="2"/>
      </rPr>
      <t xml:space="preserve">
ZEQ AG
Am Victoria-Turm 2
D-68163 Mannheim
Telefon: +49 (621) 300 840-0
E-Mail: info@zeq.de
www.zeq.de</t>
    </r>
  </si>
  <si>
    <t>ZEQ AG
Am Victoria-Turm 2, D-68165 Mannheim
Telefon: +49 (621) 300 840-0
E-Mail: info@zeq.de
www.zeq.de</t>
  </si>
  <si>
    <r>
      <rPr>
        <b/>
        <sz val="10"/>
        <color theme="1"/>
        <rFont val="Arial"/>
        <family val="2"/>
      </rPr>
      <t>Kontakt</t>
    </r>
    <r>
      <rPr>
        <sz val="10"/>
        <color theme="1"/>
        <rFont val="Arial"/>
        <family val="2"/>
      </rPr>
      <t xml:space="preserve">
ZEQ AG
Am Victoria-Turm 2, D-68165 Mannheim
Telefon: +49 (621) 300 840-0
E-Mail: info@zeq.de
www.zeq.de</t>
    </r>
  </si>
  <si>
    <t>Einrichtung (Singular)</t>
  </si>
  <si>
    <t>Krankenhaus</t>
  </si>
  <si>
    <t>Spital</t>
  </si>
  <si>
    <t>Einrichtungen (Plural)</t>
  </si>
  <si>
    <t>Krankenhäuser</t>
  </si>
  <si>
    <t>Spitäler</t>
  </si>
  <si>
    <t>Einrichtungen (Dativ)</t>
  </si>
  <si>
    <t>Krankenhäusern</t>
  </si>
  <si>
    <t>Spitälern</t>
  </si>
  <si>
    <t>bundesweite</t>
  </si>
  <si>
    <t>schweizweite</t>
  </si>
  <si>
    <t>bundesweiten</t>
  </si>
  <si>
    <t>schweizweiten</t>
  </si>
  <si>
    <t>Ableitung aus dem Bevölkerungsanteil</t>
  </si>
  <si>
    <t>Eingabe eines regionalen Ausgangswerts</t>
  </si>
  <si>
    <t>Regionaler Ausgangswert</t>
  </si>
  <si>
    <t>Ableitung aus gebietsbezogenen Fallzahlen</t>
  </si>
  <si>
    <r>
      <rPr>
        <b/>
        <sz val="10"/>
        <rFont val="Arial"/>
        <family val="2"/>
      </rPr>
      <t>Ableitung aus dem Bevökerungsanteil:</t>
    </r>
    <r>
      <rPr>
        <b/>
        <sz val="10"/>
        <rFont val="Arial"/>
        <family val="2"/>
      </rPr>
      <t/>
    </r>
  </si>
  <si>
    <t>Eingabe eines regionalen Ausgangswerts:</t>
  </si>
  <si>
    <r>
      <rPr>
        <b/>
        <sz val="10"/>
        <rFont val="Arial"/>
        <family val="2"/>
      </rPr>
      <t>Ableitung aus gebietsbezogenen Fallzahlen:</t>
    </r>
    <r>
      <rPr>
        <sz val="10"/>
        <rFont val="Arial"/>
        <family val="2"/>
      </rPr>
      <t xml:space="preserve"> </t>
    </r>
  </si>
  <si>
    <t>Dynamische Wachstumsrate:</t>
  </si>
  <si>
    <t>Stabilisierte Wachstumsrate:</t>
  </si>
  <si>
    <t>Der Ausgangswert der Berechnung wird per Hand in Zeile 14 eingegeben.</t>
  </si>
  <si>
    <r>
      <t xml:space="preserve">Der Ausgangswert ergibt sich aus der Summe aller gebietsbezogenen Fallzahlen. Dazu müssen im Tabellenblatt </t>
    </r>
    <r>
      <rPr>
        <i/>
        <sz val="10"/>
        <rFont val="Arial"/>
        <family val="2"/>
      </rPr>
      <t>"Fallzahlen (Berechnung)"</t>
    </r>
    <r>
      <rPr>
        <sz val="10"/>
        <rFont val="Arial"/>
        <family val="2"/>
      </rPr>
      <t xml:space="preserve"> gebietsbezogene Fallzahlen eingegeben werden (orangefarbene Spalte F).</t>
    </r>
  </si>
  <si>
    <t xml:space="preserve">In dieser Zelle kann der Ausgangswert der bestätigten COVID-19-Fallzahlen im betrachteten Einzugsgebiet zum in Zeile 9 angegebenen Datum eingegeben werden. Die Prognose der weiteren Entwicklung erfolgt auf Basis der unten angegeben Wachstumsrate. </t>
  </si>
  <si>
    <t>Bundesweit</t>
  </si>
  <si>
    <t>Schweizweit</t>
  </si>
  <si>
    <t>ECDC</t>
  </si>
  <si>
    <t>ECDC bundesweit</t>
  </si>
  <si>
    <t>ECDC schweizweit</t>
  </si>
  <si>
    <r>
      <rPr>
        <b/>
        <u/>
        <sz val="11"/>
        <rFont val="Arial"/>
        <family val="2"/>
      </rPr>
      <t>Die Prognose</t>
    </r>
    <r>
      <rPr>
        <sz val="11"/>
        <rFont val="Arial"/>
        <family val="2"/>
      </rPr>
      <t xml:space="preserve">
Zur Verwendung des Rechners muss der Anwender im Tabellenblatt "Prognoseparameter" die Einwohnerzahl des von ihm betrachteten Einzugsgebiets angeben. Zusätzlich muss das Datum der aktuellen Fallzahl eingegeben werden. Der ZEQ-Szenariorechner prognostiziert auf dieser Basis die Entwicklung der kommenden 10 Wochen, das umfasst:</t>
    </r>
    <r>
      <rPr>
        <sz val="11"/>
        <rFont val="Arial"/>
        <family val="2"/>
      </rPr>
      <t/>
    </r>
  </si>
  <si>
    <t xml:space="preserve">   - Fallzahlen im Einzugsgebiet
   - Patientenzahlen auf der Normal- und Intensivstation
   - Voraussichtlicher Bedarf an ECMO-Beatmung
   - Benötigte Masken zur Betreuung der Intensivpatienten
   - Mitarbeiterbedarfe pro 24h</t>
  </si>
  <si>
    <t>Die rot umrahmten Strukturerkenntnisse bilden jeweils das tägliche Patientenaufkommen bzw. den täglichen Strukturbedarf ab. Um den wöchentlichen Bedarf zu ermitteln, müssen die Werte der entsprechenden Tage einfach aufsummiert werden. Voraussichtlich gesundete Patienten werden taggenau abgezogen. Grundlage hierfür sind die im Reiter "Erkrankungs- und Strukturdaten" hinterlegten mittleren Verweildauern der Patienten mit Corona-Infektion.</t>
  </si>
  <si>
    <r>
      <rPr>
        <b/>
        <u/>
        <sz val="11"/>
        <rFont val="Arial"/>
        <family val="2"/>
      </rPr>
      <t xml:space="preserve">Grenzen des Szenariorechners
</t>
    </r>
    <r>
      <rPr>
        <sz val="11"/>
        <rFont val="Arial"/>
        <family val="2"/>
      </rPr>
      <t xml:space="preserve">
Die Entwicklung der regionalen Ausbreitung des Corona-Virus sowie die Schweregrade und Krankheitsverläufe der Infizierten können von den statistischen Prognosen abweichen. Der vorliegende Szenariorechner ist kein Simulationstool, das die Komplexität der Pandemie vollständig abbilden kann. Er sollte daher nur als erste Orientierungshilfe bei der Bewältigung der Corona-Krise genutzt werden. Er erhebt keinen Anspruch auf eine vollständige wissenschaftlich fundierte Abbildung der zukünftigen Entwicklungen, sondern dient als praktisches, niedrigschwelliges Instrument zur Vorbereitung und Ausrichtung der notwendigen Strukturen. DIe dargestellten Prognosen können  je nach Stand des betrachteten Einzugsgebiets im Vergleich zum Pandemie-Verlauf in Deutschland abweichen. Die dargestellten Tendenzen sind in diesem Fall zeitlich verzögert zu erwarten. Am grundsätzlichen Verlauf der Pandemie wird sich höchstens durch gesellschaftliche Präventionsmaßnahmen etwas ändern, die durch die Aktualisierungen des Rechners nach und nach in die Prognosen eingearbeitet werden.</t>
    </r>
  </si>
  <si>
    <r>
      <rPr>
        <b/>
        <u/>
        <sz val="11"/>
        <rFont val="Arial"/>
        <family val="2"/>
      </rPr>
      <t>Weiterentwicklung des ZEQ-Szenariorechners</t>
    </r>
    <r>
      <rPr>
        <sz val="11"/>
        <rFont val="Arial"/>
        <family val="2"/>
      </rPr>
      <t xml:space="preserve">
Der ZEQ-Szenariorechner wird durch weitere im Verlauf der Corona-Pandemie gewonnene Erkenntnisse und die tatsächliche Entwicklung der Fallzahlen in Deutschland weiter verbessert. Anmerkungen oder Verbesserungsvorschläge werden wir gerne bestmöglich umsetzen. Kontaktieren Sie uns hierfür einfach unter der E-Mail-Adresse info@zeq.de.</t>
    </r>
  </si>
  <si>
    <r>
      <rPr>
        <b/>
        <sz val="12"/>
        <rFont val="Arial"/>
        <family val="2"/>
      </rPr>
      <t>Bedienung des ZEQ-Szenariorechners und Einordnung der Prognosen</t>
    </r>
    <r>
      <rPr>
        <sz val="11"/>
        <rFont val="Arial"/>
        <family val="2"/>
      </rPr>
      <t xml:space="preserve">
Der vorliegende Szenariorechner soll bei der grundlegenden Orientierung für die Vorbereitung des deutschen Gesundheitswesens auf die kommenden Herausforderungen durch die Corona-Pandemie unterstützen. Dafür wird auf Basis der bereits bestätigten Corona-Fälle die Entwicklung in den folgenden drei Wochen prognostiziert. Die Fallzahlen werden auf Basis veröffentlicher Erkenntnisse über das Virus und seine Folgen in Strukturanforderungen des Gesundheitswesens umgerechnet. Seit Version 2 werden Anhaltswerte zu durch Corona-Patienten belegten Betten auf der Normal- und Intensivstation, zu benötigten Schutzmasken, zu invasiv beatmeten mit extrakorporaler Membranoxygenierung (EMCO) sowie zu den notwendigen Personalressourcen zur Versorgung der Patienten berechnet.</t>
    </r>
  </si>
  <si>
    <t>Eine Prognose über diesen Zeitraum hinaus ist theoretisch möglich, muss allerdings mit erheblichen Einschränkungen betrachtet werden. Aus diesem Grund haben wir uns entschieden, die Prognose auf den Zeitraum von 10 Wochen zu beschränken. Dieser Zeitraum bietet aus unserer Sicht die beste Balance zwischen Prognosen mit hoher Wahrscheinlichkeit und Vorbereitungszeit für die Einrichtungen in den betroffenen Regionen.</t>
  </si>
  <si>
    <r>
      <rPr>
        <b/>
        <u/>
        <sz val="11"/>
        <rFont val="Arial"/>
        <family val="2"/>
      </rPr>
      <t>Erkrankungs- und Strukturdaten</t>
    </r>
    <r>
      <rPr>
        <sz val="11"/>
        <rFont val="Arial"/>
        <family val="2"/>
      </rPr>
      <t xml:space="preserve">
Im Reiter "Erkrankungs- und Strukturdaten" kann der Anwender sowohl Erkenntnisse und Schätzwerte zu den Auswirkungen des Corona-Virus als auch zu den erforderlichen Strukturen zur Behandlung der Patienten variieren. Standardmäßig hinterlegt sind zum einen veröffentlichte Erkenntnisse über das Corona-Virus und zum anderen Erfahrungswerte, die ZEQ im Rahmen der Projektarbeit in über 400 Krankenhäusern und Spitälern gewonnen hat. Die Werte können je nach Bedarf durch den Nutzer beliebig angepasst werden, um aktuelle Erkenntnise einzuarbeiten oder verschiedene Szenarien durchspielen zu können.</t>
    </r>
  </si>
  <si>
    <t>Anteil gemeldete Fälle/Tatsächlich Erkrankte</t>
  </si>
  <si>
    <t>&lt;&lt;&lt; Drop-Down-Menü</t>
  </si>
  <si>
    <t>Land:</t>
  </si>
  <si>
    <t>Ganzes Land (Adjektiv)</t>
  </si>
  <si>
    <t>Ganzes Land (Attribut Sg.)</t>
  </si>
  <si>
    <t>Ganzes Land (Attribut Pl.)</t>
  </si>
  <si>
    <t>Geben Sie das Datum ein, auf dessen Informationsstand die Prognose beginnen soll (in der Regel: der letzte Tag, für den Fallzahlen bekannt sind).</t>
  </si>
  <si>
    <t>in… Land</t>
  </si>
  <si>
    <t>der Schweiz</t>
  </si>
  <si>
    <t>des Landes</t>
  </si>
  <si>
    <t>deutschen</t>
  </si>
  <si>
    <t>Schweizer</t>
  </si>
  <si>
    <t>Spalte Fallzahlen (Berechnung)</t>
  </si>
  <si>
    <t>E:E</t>
  </si>
  <si>
    <t>F:F</t>
  </si>
  <si>
    <r>
      <t xml:space="preserve">Wachstumsrate der Infektionen
</t>
    </r>
    <r>
      <rPr>
        <i/>
        <sz val="10"/>
        <rFont val="Arial"/>
        <family val="2"/>
      </rPr>
      <t>(Auswahl aus dem Drop-Down-Menü)</t>
    </r>
  </si>
  <si>
    <r>
      <t xml:space="preserve">Ableitung des Ausgangswerts
</t>
    </r>
    <r>
      <rPr>
        <sz val="10"/>
        <rFont val="Arial"/>
        <family val="2"/>
      </rPr>
      <t xml:space="preserve">(Prognosebasis)
</t>
    </r>
    <r>
      <rPr>
        <b/>
        <sz val="10"/>
        <rFont val="Arial"/>
        <family val="2"/>
      </rPr>
      <t xml:space="preserve">
</t>
    </r>
    <r>
      <rPr>
        <i/>
        <sz val="10"/>
        <rFont val="Arial"/>
        <family val="2"/>
      </rPr>
      <t>(Auswahl aus dem Drop-Down-Menü)</t>
    </r>
  </si>
  <si>
    <r>
      <rPr>
        <b/>
        <sz val="11"/>
        <rFont val="Arial"/>
        <family val="2"/>
      </rPr>
      <t>Dr. Ulf Dennler,</t>
    </r>
    <r>
      <rPr>
        <sz val="11"/>
        <rFont val="Arial"/>
        <family val="2"/>
      </rPr>
      <t xml:space="preserve"> Geschäftsbereichsleiter Medizincontrolling der München Klinik</t>
    </r>
  </si>
  <si>
    <t>Wir danken für Verbesserungsvorschläge und Unterstützung, insbesondere</t>
  </si>
  <si>
    <r>
      <rPr>
        <b/>
        <sz val="11"/>
        <rFont val="Arial"/>
        <family val="2"/>
      </rPr>
      <t>Dr. Klaus Schliz,</t>
    </r>
    <r>
      <rPr>
        <sz val="11"/>
        <rFont val="Arial"/>
        <family val="2"/>
      </rPr>
      <t xml:space="preserve"> Stellv. Landesdirektor der Bereitschaften DRK Baden-Württemberg
</t>
    </r>
    <r>
      <rPr>
        <b/>
        <sz val="11"/>
        <rFont val="Arial"/>
        <family val="2"/>
      </rPr>
      <t>Dr. Joachim Koster</t>
    </r>
    <r>
      <rPr>
        <sz val="11"/>
        <rFont val="Arial"/>
        <family val="2"/>
      </rPr>
      <t xml:space="preserve">, Leiter Medizincontrolling, Universitätskl+D29inikum Freiburg
</t>
    </r>
    <r>
      <rPr>
        <b/>
        <sz val="11"/>
        <rFont val="Arial"/>
        <family val="2"/>
      </rPr>
      <t>Marco Wollscheid,</t>
    </r>
    <r>
      <rPr>
        <sz val="11"/>
        <rFont val="Arial"/>
        <family val="2"/>
      </rPr>
      <t xml:space="preserve"> Regionalleiter Controlling, HELIOS Region Ost
</t>
    </r>
    <r>
      <rPr>
        <b/>
        <sz val="11"/>
        <rFont val="Arial"/>
        <family val="2"/>
      </rPr>
      <t xml:space="preserve">PD Dr. Sven Ständer, </t>
    </r>
    <r>
      <rPr>
        <sz val="11"/>
        <rFont val="Arial"/>
        <family val="2"/>
      </rPr>
      <t>Ärztlicher Direktor Spital Männedorf</t>
    </r>
  </si>
  <si>
    <t>Anteil beatmete Patienten an den infizierten Patienten gesamt</t>
  </si>
  <si>
    <t>Zwei-Schicht-System</t>
  </si>
  <si>
    <t>Drei-Schicht-System</t>
  </si>
  <si>
    <t>Länge der Beatmung auf Intensivstation in Tagen</t>
  </si>
  <si>
    <t>Gebietsbezogen (Zuwachs 
pro Tag)</t>
  </si>
  <si>
    <t>1. Die stabilisierte Wachstumsrate ist nun auch für die gebietsbezogenen Fallzahlen einstellbar.</t>
  </si>
  <si>
    <r>
      <rPr>
        <b/>
        <u/>
        <sz val="10.5"/>
        <rFont val="Arial"/>
        <family val="2"/>
      </rPr>
      <t>Updates in der Version 2.3</t>
    </r>
    <r>
      <rPr>
        <sz val="10.5"/>
        <rFont val="Arial"/>
        <family val="2"/>
      </rPr>
      <t xml:space="preserve">
3. 
</t>
    </r>
    <r>
      <rPr>
        <b/>
        <sz val="10.5"/>
        <rFont val="Arial"/>
        <family val="2"/>
      </rPr>
      <t/>
    </r>
  </si>
  <si>
    <t xml:space="preserve">2. Die gebietsbezogene Wachstumsrate kann nun auch mit einem regionalen Ausgangswert kombiniert werden.
</t>
  </si>
  <si>
    <t>3. Die Formeln wurden so umgestellt, dass der Rechner auch (wieder) Excel-2010-kompatibel ist.</t>
  </si>
  <si>
    <t>4. Wegen des Downgrades auf Excel 2010 musste auf dem Tabellenblatt Fallzahlen (Berechnung) eine Abfrage ergänzt werden, ob die gebietsbezogenen Fallzahlen bis zum Datum des Prognosebeginns vorliegen.</t>
  </si>
  <si>
    <t>5. Die Wachstumsrate berechnet sich nun nach dem geometrischen, nicht mehr nach dem arithmetischen Mittel der letzten Tage.</t>
  </si>
  <si>
    <t>6. Der Grenzwert für Herdenimmunität und der Anteil der gemeldeten Fälle können nun frei gewählt werden.</t>
  </si>
  <si>
    <r>
      <rPr>
        <b/>
        <u/>
        <sz val="10.5"/>
        <rFont val="Arial"/>
        <family val="2"/>
      </rPr>
      <t>Updates in der Version 2.4</t>
    </r>
    <r>
      <rPr>
        <sz val="10.5"/>
        <rFont val="Arial"/>
        <family val="2"/>
      </rPr>
      <t xml:space="preserve">. 
</t>
    </r>
    <r>
      <rPr>
        <b/>
        <sz val="10.5"/>
        <rFont val="Arial"/>
        <family val="2"/>
      </rPr>
      <t/>
    </r>
  </si>
  <si>
    <t>Bedarf Beatmungsplätze</t>
  </si>
  <si>
    <t>Sie dürfen die Auswertungen mit diesem Szenariorechner gerne in Ihre Veröffentlichungen einarbeiten. Wir bitten Sie jedoch, eine Quellenangabe vorzunehmen</t>
  </si>
  <si>
    <t>1. Anstelle der benötigten ECMOs werden nun die benötigten Beatmungsplätze berechnet.</t>
  </si>
  <si>
    <t>Anteil des ICU-Aufenthalts am Gesamtaufenthalt Intensivstation/IMC</t>
  </si>
  <si>
    <t>Hospitalisationsrate (nur Intensivmedizin/IMC)</t>
  </si>
  <si>
    <t>2. Bessere Kennzeichnung in den Darstellungen, dass die Angabe für Intensbetten auch IMC-Betten mit einschließt.</t>
  </si>
  <si>
    <r>
      <t xml:space="preserve">In den gelb hinterlegten Feldrnr können die Prognoseparameter angepasst werden. Die Prognose befindet sich in den Tabellenblättern </t>
    </r>
    <r>
      <rPr>
        <b/>
        <i/>
        <sz val="11"/>
        <rFont val="Arial"/>
        <family val="2"/>
      </rPr>
      <t>Prognoseergebnis</t>
    </r>
    <r>
      <rPr>
        <b/>
        <sz val="11"/>
        <rFont val="Arial"/>
        <family val="2"/>
      </rPr>
      <t xml:space="preserve"> bzw. </t>
    </r>
    <r>
      <rPr>
        <b/>
        <i/>
        <sz val="11"/>
        <rFont val="Arial"/>
        <family val="2"/>
      </rPr>
      <t>Grafische Darstellung</t>
    </r>
    <r>
      <rPr>
        <b/>
        <sz val="11"/>
        <rFont val="Arial"/>
        <family val="2"/>
      </rPr>
      <t>.</t>
    </r>
  </si>
  <si>
    <t>11. Woche</t>
  </si>
  <si>
    <t>12. Woche</t>
  </si>
  <si>
    <t>13. Woche</t>
  </si>
  <si>
    <t>14. Woche</t>
  </si>
  <si>
    <t>15. Woche</t>
  </si>
  <si>
    <t xml:space="preserve">Dieses Blatt stellen wir ungeschützt wir Verfügung, so dass Sie die Grafiken größerziehen können. </t>
  </si>
  <si>
    <t>Bei einer Verwendung in öffentlichen oder gewerbsmäßigen Publikationen bitten wir Sie um eine Quellenangabe.</t>
  </si>
  <si>
    <t>3. Verlängerung des Prognosezeitraums auf 15 Wochen.</t>
  </si>
  <si>
    <t>4. Korrektur der Berechnung der gebietsbezogenen Wachstumsrate mit regionalem Ausgangswert (bisher wurde die Berechnung der gebietsbezognen Wachstumsrate aus Spalte I ermittelt, jetzt legt sie die Werte in Spalte J zugrunde)</t>
  </si>
  <si>
    <t>5. Wegnahme der Möglichkeit, dass die Prognose mit einem Tag beginnt, für den noch keine Fallzahl vorliegt.</t>
  </si>
  <si>
    <t>Szenario-Methodik</t>
  </si>
  <si>
    <t>Methodik</t>
  </si>
  <si>
    <t>Worst Case</t>
  </si>
  <si>
    <t>Tatsächlich Infizierte insgesamt</t>
  </si>
  <si>
    <r>
      <rPr>
        <b/>
        <u/>
        <sz val="10.5"/>
        <rFont val="Arial"/>
        <family val="2"/>
      </rPr>
      <t>Updates in der Version 3.0</t>
    </r>
    <r>
      <rPr>
        <sz val="10.5"/>
        <rFont val="Arial"/>
        <family val="2"/>
      </rPr>
      <t xml:space="preserve">
</t>
    </r>
    <r>
      <rPr>
        <b/>
        <sz val="10.5"/>
        <rFont val="Arial"/>
        <family val="2"/>
      </rPr>
      <t/>
    </r>
  </si>
  <si>
    <t>2. Entsperrung der gesamten Eingabespalte auf den Tabellenblättern "Erkrankungs- und Strukturdaten" sowie "Prognoseparameter", damit das Hineinkopieren der regiosbezogenen Daten leichter fällt.</t>
  </si>
  <si>
    <r>
      <t xml:space="preserve">Betrachtetes Gebiet
</t>
    </r>
    <r>
      <rPr>
        <sz val="10"/>
        <rFont val="Arial"/>
        <family val="2"/>
      </rPr>
      <t>(optionale Angabe)</t>
    </r>
  </si>
  <si>
    <t>Text eingeben</t>
  </si>
  <si>
    <t>Das betrachtete Gebiet wird als Überschrift im Tabellenblatt "Grafische Darstellung" ausgegeben. Eine weitere Erfassung oder Auswertung dieser Eingabe erfolgt nicht.</t>
  </si>
  <si>
    <t>Aufenthalt Normalstation in Tagen (Milder Fall)</t>
  </si>
  <si>
    <t>Aufenthalt Intensivstation/IMC in Tagen (Schwerer Fall)</t>
  </si>
  <si>
    <t>Aufenthalt Normalstation nach ICU-Behandlung in Tagen (Schwerer Fall)</t>
  </si>
  <si>
    <t xml:space="preserve">3. Berücksichtigung, dass Intensivpatienten nach deren Aufenthalt auf Intensivstation noch Zeit auf Normalstation verbringen. </t>
  </si>
  <si>
    <t>4. Vereinfachung einiger Formeln</t>
  </si>
  <si>
    <t>letzter Eintrag</t>
  </si>
  <si>
    <r>
      <t xml:space="preserve">Zahl der Infizierten im Einzugsgebiet
</t>
    </r>
    <r>
      <rPr>
        <sz val="11"/>
        <color theme="0"/>
        <rFont val="Arial"/>
        <family val="2"/>
      </rPr>
      <t>Nur gemeldete und registrierte Fälle</t>
    </r>
  </si>
  <si>
    <t>Zahl der Infizierten (kumuliert)</t>
  </si>
  <si>
    <t>Zuwachs Infektionen pro Tag</t>
  </si>
  <si>
    <t>Entwicklung der Infektionszahlen</t>
  </si>
  <si>
    <r>
      <rPr>
        <b/>
        <u/>
        <sz val="10.5"/>
        <rFont val="Arial"/>
        <family val="2"/>
      </rPr>
      <t>Updates in der Version 3.1</t>
    </r>
    <r>
      <rPr>
        <sz val="10.5"/>
        <rFont val="Arial"/>
        <family val="2"/>
      </rPr>
      <t xml:space="preserve">
</t>
    </r>
    <r>
      <rPr>
        <b/>
        <sz val="10.5"/>
        <rFont val="Arial"/>
        <family val="2"/>
      </rPr>
      <t/>
    </r>
  </si>
  <si>
    <t xml:space="preserve">1. Wiederherstellung der Formel für Regionaler Ausgangswert und bundesweite Wachstumsrate (war im Rahmen der Formelvereinfachung in Version 3.0 funktionsunfähig geworden). </t>
  </si>
  <si>
    <t>2. Darstellung der Wachstumsrate mit einer Nachkommastelle.</t>
  </si>
  <si>
    <t>3. Sprachliche Veränderung: Infektionen/Infizierte statt Fallzahlen</t>
  </si>
  <si>
    <t>Potenzial gemeldete Fälle</t>
  </si>
  <si>
    <t>Abweichung je Wochentag</t>
  </si>
  <si>
    <t>Mittelwerte pro Wochentag - Bundesweit</t>
  </si>
  <si>
    <t>Mittelwerte pro Wochentag - Gebietsbezogen</t>
  </si>
  <si>
    <r>
      <rPr>
        <b/>
        <u/>
        <sz val="10.5"/>
        <rFont val="Arial"/>
        <family val="2"/>
      </rPr>
      <t>Updates in der Version 3.2</t>
    </r>
    <r>
      <rPr>
        <sz val="10.5"/>
        <rFont val="Arial"/>
        <family val="2"/>
      </rPr>
      <t xml:space="preserve">
</t>
    </r>
    <r>
      <rPr>
        <b/>
        <sz val="10.5"/>
        <rFont val="Arial"/>
        <family val="2"/>
      </rPr>
      <t/>
    </r>
  </si>
  <si>
    <t>1. Berechnung, wie stark die Fallzahl in den letzten vier Wochen wochentagsspezifisch vom Durchschnitt abgewichen ist und Berechnung eines wochentagsspezifischen Anpassungsfaktors. Multiplikation der rechnerischen Prognose mit dem wochentagsspezifischen Anpassungsfaktor.</t>
  </si>
  <si>
    <t>Wochentags-adaptierte Prognose</t>
  </si>
  <si>
    <t>3. Verkürzung des grafisch dargestellten Prognosezeitraums auf 10 Wochen.</t>
  </si>
  <si>
    <t>-5 Wochen</t>
  </si>
  <si>
    <t>-6 Wochen</t>
  </si>
  <si>
    <t>-7 Wochen</t>
  </si>
  <si>
    <t>-8 Wochen</t>
  </si>
  <si>
    <t>2. Korrektur der Formel zur Berechnung der Beatmungsgeräte und der Berechnung der Normalbetten (erste Tage).</t>
  </si>
  <si>
    <t>1. Anwendung der wochentagsspezifischen Anpassung auch auf die gebietsbezogene Prognose.</t>
  </si>
  <si>
    <r>
      <rPr>
        <b/>
        <u/>
        <sz val="10.5"/>
        <rFont val="Arial"/>
        <family val="2"/>
      </rPr>
      <t>Updates in der Version 3.3</t>
    </r>
    <r>
      <rPr>
        <sz val="10.5"/>
        <rFont val="Arial"/>
        <family val="2"/>
      </rPr>
      <t xml:space="preserve">
</t>
    </r>
    <r>
      <rPr>
        <b/>
        <sz val="10.5"/>
        <rFont val="Arial"/>
        <family val="2"/>
      </rPr>
      <t/>
    </r>
  </si>
  <si>
    <t>2. Formelanpassung, so dass nun auch wieder gebietsbezogene Fallzahlen mit bundesweiten Wachstumsraten kombiniert werden können.</t>
  </si>
  <si>
    <t>Max-Planck-Institut</t>
  </si>
  <si>
    <r>
      <rPr>
        <b/>
        <u/>
        <sz val="10.5"/>
        <rFont val="Arial"/>
        <family val="2"/>
      </rPr>
      <t>Updates in der Version 4.0</t>
    </r>
    <r>
      <rPr>
        <sz val="10.5"/>
        <rFont val="Arial"/>
        <family val="2"/>
      </rPr>
      <t xml:space="preserve">
</t>
    </r>
    <r>
      <rPr>
        <b/>
        <sz val="10.5"/>
        <rFont val="Arial"/>
        <family val="2"/>
      </rPr>
      <t/>
    </r>
  </si>
  <si>
    <r>
      <rPr>
        <b/>
        <sz val="11"/>
        <rFont val="Arial"/>
        <family val="2"/>
      </rPr>
      <t>Dr. Ulf Dennler,</t>
    </r>
    <r>
      <rPr>
        <sz val="11"/>
        <rFont val="Arial"/>
        <family val="2"/>
      </rPr>
      <t xml:space="preserve"> Geschäftsbereichsleiter Medizincontrolling der München Klinik
</t>
    </r>
    <r>
      <rPr>
        <b/>
        <sz val="11"/>
        <rFont val="Arial"/>
        <family val="2"/>
      </rPr>
      <t>Dr. Klaus Schliz,</t>
    </r>
    <r>
      <rPr>
        <sz val="11"/>
        <rFont val="Arial"/>
        <family val="2"/>
      </rPr>
      <t xml:space="preserve"> Stellv. Landesdirektor der Bereitschaften DRK Baden-Württemberg
</t>
    </r>
    <r>
      <rPr>
        <b/>
        <sz val="11"/>
        <rFont val="Arial"/>
        <family val="2"/>
      </rPr>
      <t>Dr. Joachim Koster,</t>
    </r>
    <r>
      <rPr>
        <sz val="11"/>
        <rFont val="Arial"/>
        <family val="2"/>
      </rPr>
      <t xml:space="preserve"> Leiter Medizincontrolling, Universitätsklinikum Freiburg
</t>
    </r>
    <r>
      <rPr>
        <b/>
        <sz val="11"/>
        <rFont val="Arial"/>
        <family val="2"/>
      </rPr>
      <t>Marco Wollscheid,</t>
    </r>
    <r>
      <rPr>
        <sz val="11"/>
        <rFont val="Arial"/>
        <family val="2"/>
      </rPr>
      <t xml:space="preserve"> Regionalleiter Controlling, HELIOS Region Ost
</t>
    </r>
    <r>
      <rPr>
        <b/>
        <sz val="11"/>
        <rFont val="Arial"/>
        <family val="2"/>
      </rPr>
      <t>Dr. Sven Ständer,</t>
    </r>
    <r>
      <rPr>
        <sz val="11"/>
        <rFont val="Arial"/>
        <family val="2"/>
      </rPr>
      <t xml:space="preserve"> Ärztlicher Direktor Spital Männedorf, Schweiz</t>
    </r>
  </si>
  <si>
    <t>Rechenmethodik</t>
  </si>
  <si>
    <t>Beginn der 2. Welle</t>
  </si>
  <si>
    <r>
      <t xml:space="preserve">2. Anpassung der standardisiert hinterlegten </t>
    </r>
    <r>
      <rPr>
        <b/>
        <sz val="10.5"/>
        <rFont val="Arial"/>
        <family val="2"/>
      </rPr>
      <t>Quote erfasster Fälle</t>
    </r>
    <r>
      <rPr>
        <sz val="10.5"/>
        <rFont val="Arial"/>
        <family val="2"/>
      </rPr>
      <t xml:space="preserve"> an tatsächlichen Fällen: Aufgrund der verbesserten Teststruktur in Deutschland ist der zuletzt hinterlegte Anteil von 15% nicht mehr aktuell. Auf Basis einer Untersuchung der Max-Planck-Gesellschaft (4. Juni 2020) ist nun der Standardwert 55% hinterlegt.</t>
    </r>
  </si>
  <si>
    <r>
      <t xml:space="preserve">1. </t>
    </r>
    <r>
      <rPr>
        <b/>
        <sz val="10.5"/>
        <rFont val="Arial"/>
        <family val="2"/>
      </rPr>
      <t>Anpassung der ZEQ-Prognosemethodik:</t>
    </r>
    <r>
      <rPr>
        <sz val="10.5"/>
        <rFont val="Arial"/>
        <family val="2"/>
      </rPr>
      <t xml:space="preserve"> Um die zweite Welle besser abzubilden, behandeln wir die Fallzahlen ab 1. September als neuen Ausgangspunkt. Das Ausgangsdatum kann im Arbeitsblatt "Erkrankungs- und Strukturdaten" angepasst werdne. Die Prognose entspricht so der bereits bei der ersten Welle bewährten Methodik.</t>
    </r>
  </si>
  <si>
    <t>1. Aufnahme einer zweiten Szenario-Methodik (Worst Case) für eine Prognose ohne Gegensteuerung.</t>
  </si>
  <si>
    <r>
      <rPr>
        <b/>
        <u/>
        <sz val="10.5"/>
        <rFont val="Arial"/>
        <family val="2"/>
      </rPr>
      <t>Updates in der Version 4.1</t>
    </r>
    <r>
      <rPr>
        <sz val="10.5"/>
        <rFont val="Arial"/>
        <family val="2"/>
      </rPr>
      <t xml:space="preserve">
</t>
    </r>
    <r>
      <rPr>
        <b/>
        <sz val="10.5"/>
        <rFont val="Arial"/>
        <family val="2"/>
      </rPr>
      <t/>
    </r>
  </si>
  <si>
    <r>
      <t xml:space="preserve">1. </t>
    </r>
    <r>
      <rPr>
        <b/>
        <sz val="10.5"/>
        <rFont val="Arial"/>
        <family val="2"/>
      </rPr>
      <t>Korrektur der Formel zur Berechnung der Wachstumsrate:</t>
    </r>
    <r>
      <rPr>
        <sz val="10.5"/>
        <rFont val="Arial"/>
        <family val="2"/>
      </rPr>
      <t xml:space="preserve"> Seit der Version 4.0 bleiben bei der Berechnung der Wachstumsrate die Fallzahlen der "ersten Welle" außen vor. Dies war bei gebietsbezogenen Fallzahlen noch nicht richtig umgesetzt, so dass nicht die gebietsbezogenen Fallzahlen der ersten Welle, sondern die bundesweiten Fallzahlen der ersten Welle abgezogen wurden.</t>
    </r>
  </si>
  <si>
    <r>
      <rPr>
        <b/>
        <u/>
        <sz val="10.5"/>
        <rFont val="Arial"/>
        <family val="2"/>
      </rPr>
      <t>Updates in der Version 4.2</t>
    </r>
    <r>
      <rPr>
        <sz val="10.5"/>
        <rFont val="Arial"/>
        <family val="2"/>
      </rPr>
      <t xml:space="preserve">
</t>
    </r>
    <r>
      <rPr>
        <b/>
        <sz val="10.5"/>
        <rFont val="Arial"/>
        <family val="2"/>
      </rPr>
      <t/>
    </r>
  </si>
  <si>
    <t>RKI: Laut dem DIVI-Intensivregister werden aktuell 49% der intensivmedizinisch behandelten Erkrankten beatmet</t>
  </si>
  <si>
    <t>RKI-Lagebericht vom 6.10.2020: Hospitalisierungsrate 14%</t>
  </si>
  <si>
    <t>RKI:Für Deutschland wurde der Anteil intensivpflichtiger Patienten auf ca. 8 % geschätzt</t>
  </si>
  <si>
    <r>
      <rPr>
        <b/>
        <u/>
        <sz val="10.5"/>
        <rFont val="Arial"/>
        <family val="2"/>
      </rPr>
      <t>Updates in der Version 4.3</t>
    </r>
    <r>
      <rPr>
        <sz val="10.5"/>
        <rFont val="Arial"/>
        <family val="2"/>
      </rPr>
      <t xml:space="preserve">
</t>
    </r>
    <r>
      <rPr>
        <b/>
        <sz val="10.5"/>
        <rFont val="Arial"/>
        <family val="2"/>
      </rPr>
      <t/>
    </r>
  </si>
  <si>
    <r>
      <rPr>
        <b/>
        <sz val="10.5"/>
        <rFont val="Arial"/>
        <family val="2"/>
      </rPr>
      <t xml:space="preserve">Korrektur bei Berechnung mit Marktanteil: </t>
    </r>
    <r>
      <rPr>
        <sz val="10.5"/>
        <rFont val="Arial"/>
        <family val="2"/>
      </rPr>
      <t>Wenn für ein Krankenhaus der Marktanteil angegeben und gebietsbezogene Fallzahlen eingegeben wurden, fand der Marktanteil bei der Berechnung der Fallzahlen keine Berücksichtigung. Das ist nun korrigiert.</t>
    </r>
  </si>
  <si>
    <r>
      <rPr>
        <b/>
        <sz val="10.5"/>
        <rFont val="Arial"/>
        <family val="2"/>
      </rPr>
      <t>Berechnung bei Durchschnitt-Verweildauern mit Nachkommastellen:</t>
    </r>
    <r>
      <rPr>
        <sz val="10.5"/>
        <rFont val="Arial"/>
        <family val="2"/>
      </rPr>
      <t xml:space="preserve"> Im Arbeitsblatt "Erkrankungs- und Strukturdaten" werden in den Zellen C14, C15 und C16 die durchschnittlichen Verweildauern auf Normalstation, Intensivstation und post-Intensiv abgefragt. Wenn hier Werte mit Nachkommastellen eingegeben wurden, führte die Berechnung des Prognoseergebnisses zu einer Fehlermeldung. Dieses Problem ist nun behoben.</t>
    </r>
  </si>
  <si>
    <t>Wachstum der Gesamtinfektionen</t>
  </si>
  <si>
    <t>Entwicklung der Neuinfektionen</t>
  </si>
  <si>
    <t>Methodik kurz</t>
  </si>
  <si>
    <t>Neuinf</t>
  </si>
  <si>
    <t>Gesamtinf</t>
  </si>
  <si>
    <t>WorstC</t>
  </si>
  <si>
    <t>Wachstumsrate II</t>
  </si>
  <si>
    <t>Gebietsbezogen: 7-Tage-Wachstumsrate</t>
  </si>
  <si>
    <t>Gebietsbezogen: Reduzierte 7-Tage-Wachstumsrate</t>
  </si>
  <si>
    <r>
      <rPr>
        <b/>
        <sz val="10"/>
        <rFont val="Arial"/>
        <family val="2"/>
      </rPr>
      <t xml:space="preserve">Wachstum der Gesamtinfektionen: </t>
    </r>
    <r>
      <rPr>
        <sz val="10"/>
        <rFont val="Arial"/>
        <family val="2"/>
      </rPr>
      <t xml:space="preserve">Prognosmethodik, die die Zahl der Gesamtinfektionen fortschreibt und daraus die Neuinfektionen berechnet. Diese Methodik findet seit Version 2.0 Anwendung.
</t>
    </r>
    <r>
      <rPr>
        <b/>
        <sz val="10"/>
        <rFont val="Arial"/>
        <family val="2"/>
      </rPr>
      <t>Entwicklung der Neuinfektionen:</t>
    </r>
    <r>
      <rPr>
        <sz val="10"/>
        <rFont val="Arial"/>
        <family val="2"/>
      </rPr>
      <t xml:space="preserve"> Prognosemethodik, die alleine die Entwicklung der Neuinfektionen zur Grundlage nimmt und dementsprechend keinen Peak berücksichtigt. Diese Methodik wurde mit Version 5.0 hinzugenommen.
</t>
    </r>
    <r>
      <rPr>
        <b/>
        <sz val="10"/>
        <rFont val="Arial"/>
        <family val="2"/>
      </rPr>
      <t xml:space="preserve">Worst Case: </t>
    </r>
    <r>
      <rPr>
        <sz val="10"/>
        <rFont val="Arial"/>
        <family val="2"/>
      </rPr>
      <t>Epidemiologische Methodik (deutlich höhere Fallzahlentwicklung) - entspricht einer Prognose ohne Gegenmaßnahmen</t>
    </r>
  </si>
  <si>
    <r>
      <rPr>
        <b/>
        <u/>
        <sz val="10.5"/>
        <rFont val="Arial"/>
        <family val="2"/>
      </rPr>
      <t>Updates in der Version 5.0</t>
    </r>
    <r>
      <rPr>
        <sz val="10.5"/>
        <rFont val="Arial"/>
        <family val="2"/>
      </rPr>
      <t xml:space="preserve">
</t>
    </r>
    <r>
      <rPr>
        <b/>
        <sz val="10.5"/>
        <rFont val="Arial"/>
        <family val="2"/>
      </rPr>
      <t/>
    </r>
  </si>
  <si>
    <r>
      <rPr>
        <b/>
        <sz val="10.5"/>
        <rFont val="Arial"/>
        <family val="2"/>
      </rPr>
      <t xml:space="preserve">Grundlegende Überarbeitung der Prognoseformel: </t>
    </r>
    <r>
      <rPr>
        <sz val="10.5"/>
        <rFont val="Arial"/>
        <family val="2"/>
      </rPr>
      <t>Die Prognoseformel orientiert sich jetzt nicht mehr an der Anzahl der Infizierten, sondern an der Zahl der Neuinfektionen. Das Wachstum errechnet sich aus dem Mittelwert der letzten sieben Tage im Vergleich zu den sieben Tagen davor. Die Anzahl der Auswahlparameter zur Wachstumsrate wurde eingeschränkt. Die Eingabe eines Ausgangswertes ergibt nun keinen Sinn mehr und wurde deshalb ausgeblendet.</t>
    </r>
  </si>
  <si>
    <r>
      <rPr>
        <b/>
        <u/>
        <sz val="10.5"/>
        <rFont val="Arial"/>
        <family val="2"/>
      </rPr>
      <t>Updates in der Version 5.1</t>
    </r>
    <r>
      <rPr>
        <sz val="10.5"/>
        <rFont val="Arial"/>
        <family val="2"/>
      </rPr>
      <t xml:space="preserve">
</t>
    </r>
    <r>
      <rPr>
        <b/>
        <sz val="10.5"/>
        <rFont val="Arial"/>
        <family val="2"/>
      </rPr>
      <t/>
    </r>
  </si>
  <si>
    <r>
      <rPr>
        <b/>
        <sz val="10.5"/>
        <rFont val="Arial"/>
        <family val="2"/>
      </rPr>
      <t>Zusammenführung der Prognosemethoden aus den Versionen 4.3 und 5.0:</t>
    </r>
    <r>
      <rPr>
        <sz val="10.5"/>
        <rFont val="Arial"/>
        <family val="2"/>
      </rPr>
      <t xml:space="preserve"> Nachdem mehrere Nutzer darum gebeten haben, weiter die Prognosemethodik der Version 4.3 weiter nutzen zu können, stehen in Version 5.1 nun beide Methodiken wahlweise zur Verfügung. Die alte Methodik nennt sich nun "Wachstum der Gesamtinfektionen", die neuere Methodik "Entwicklung der Neuinfektionen".</t>
    </r>
  </si>
  <si>
    <t>Version 5.1</t>
  </si>
  <si>
    <r>
      <t xml:space="preserve">Drop-Down-Menü
</t>
    </r>
    <r>
      <rPr>
        <sz val="10"/>
        <rFont val="Calibri"/>
        <family val="2"/>
      </rPr>
      <t>←←←←←←←</t>
    </r>
  </si>
  <si>
    <t>Schweizweit: Dynamische Wachstumsrate</t>
  </si>
  <si>
    <t>Quelle Neuinfektionen</t>
  </si>
  <si>
    <t>RKI bundesweit</t>
  </si>
  <si>
    <t>BAG Schweiz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</si>
</sst>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
    <numFmt numFmtId="166" formatCode="&quot;Stand &quot;[$-407]d/\ mmmm\ yyyy;@"/>
    <numFmt numFmtId="167" formatCode="&quot;letzte Aktualisierung: &quot;dd/mm/yyyy"/>
    <numFmt numFmtId="168" formatCode="_-* #,##0_-;\-* #,##0_-;_-* &quot;-&quot;??_-;_-@_-"/>
    <numFmt numFmtId="169" formatCode="dd\.mm\.yyyy"/>
    <numFmt numFmtId="170" formatCode="#,##0_ ;\-#,##0\ "/>
    <numFmt numFmtId="171" formatCode="dddd"/>
  </numFmts>
  <fonts count="54" x14ac:knownFonts="1">
    <font>
      <sz val="10"/>
      <name val="Arial"/>
    </font>
    <font>
      <sz val="11"/>
      <color theme="1"/>
      <name val="Arial"/>
      <family val="2"/>
      <scheme val="minor"/>
    </font>
    <font>
      <sz val="11"/>
      <color theme="1"/>
      <name val="Arial"/>
      <family val="2"/>
      <scheme val="minor"/>
    </font>
    <font>
      <sz val="11"/>
      <color theme="1"/>
      <name val="Arial"/>
      <family val="2"/>
    </font>
    <font>
      <sz val="10"/>
      <name val="Arial"/>
      <family val="2"/>
    </font>
    <font>
      <sz val="10"/>
      <name val="Arial"/>
      <family val="2"/>
    </font>
    <font>
      <sz val="11"/>
      <name val="Arial"/>
      <family val="2"/>
    </font>
    <font>
      <b/>
      <sz val="11"/>
      <name val="Arial"/>
      <family val="2"/>
    </font>
    <font>
      <sz val="9"/>
      <name val="Arial"/>
      <family val="2"/>
    </font>
    <font>
      <sz val="11"/>
      <color theme="0"/>
      <name val="Arial"/>
      <family val="2"/>
    </font>
    <font>
      <b/>
      <sz val="11"/>
      <color theme="0"/>
      <name val="Arial"/>
      <family val="2"/>
    </font>
    <font>
      <b/>
      <sz val="10"/>
      <name val="Arial"/>
      <family val="2"/>
    </font>
    <font>
      <sz val="11"/>
      <color rgb="FFC00000"/>
      <name val="Arial"/>
      <family val="2"/>
    </font>
    <font>
      <b/>
      <sz val="11"/>
      <color rgb="FFC00000"/>
      <name val="Arial"/>
      <family val="2"/>
    </font>
    <font>
      <i/>
      <sz val="11"/>
      <name val="Arial"/>
      <family val="2"/>
    </font>
    <font>
      <sz val="10"/>
      <color theme="0"/>
      <name val="Arial"/>
      <family val="2"/>
    </font>
    <font>
      <b/>
      <sz val="11"/>
      <color theme="1"/>
      <name val="Arial"/>
      <family val="2"/>
    </font>
    <font>
      <b/>
      <sz val="12"/>
      <name val="Arial"/>
      <family val="2"/>
    </font>
    <font>
      <b/>
      <u/>
      <sz val="11"/>
      <name val="Arial"/>
      <family val="2"/>
    </font>
    <font>
      <i/>
      <sz val="10"/>
      <name val="Arial"/>
      <family val="2"/>
    </font>
    <font>
      <sz val="8"/>
      <name val="Arial"/>
      <family val="2"/>
    </font>
    <font>
      <b/>
      <sz val="14"/>
      <name val="Arial"/>
      <family val="2"/>
    </font>
    <font>
      <sz val="10"/>
      <name val="Arial"/>
      <family val="2"/>
    </font>
    <font>
      <sz val="10"/>
      <color theme="1"/>
      <name val="Arial"/>
      <family val="2"/>
    </font>
    <font>
      <sz val="8"/>
      <color theme="1"/>
      <name val="Arial"/>
      <family val="2"/>
    </font>
    <font>
      <b/>
      <sz val="8"/>
      <name val="Arial"/>
      <family val="2"/>
    </font>
    <font>
      <sz val="8"/>
      <color rgb="FF363636"/>
      <name val="Arial"/>
      <family val="2"/>
    </font>
    <font>
      <b/>
      <sz val="8"/>
      <color theme="0"/>
      <name val="Arial"/>
      <family val="2"/>
    </font>
    <font>
      <sz val="10.5"/>
      <name val="Arial"/>
      <family val="2"/>
    </font>
    <font>
      <b/>
      <u/>
      <sz val="12"/>
      <name val="Arial"/>
      <family val="2"/>
    </font>
    <font>
      <b/>
      <sz val="14"/>
      <color theme="1"/>
      <name val="Arial"/>
      <family val="2"/>
    </font>
    <font>
      <b/>
      <sz val="10"/>
      <color theme="1"/>
      <name val="Arial"/>
      <family val="2"/>
    </font>
    <font>
      <b/>
      <sz val="14"/>
      <color theme="0"/>
      <name val="Arial"/>
      <family val="2"/>
    </font>
    <font>
      <u/>
      <sz val="11"/>
      <name val="Arial"/>
      <family val="2"/>
    </font>
    <font>
      <b/>
      <sz val="11"/>
      <color rgb="FF477335"/>
      <name val="Arial"/>
      <family val="2"/>
    </font>
    <font>
      <b/>
      <i/>
      <sz val="11"/>
      <name val="Arial"/>
      <family val="2"/>
    </font>
    <font>
      <b/>
      <sz val="10.5"/>
      <name val="Arial"/>
      <family val="2"/>
    </font>
    <font>
      <b/>
      <u/>
      <sz val="10.5"/>
      <name val="Arial"/>
      <family val="2"/>
    </font>
    <font>
      <b/>
      <sz val="10"/>
      <color theme="0"/>
      <name val="Arial"/>
      <family val="2"/>
    </font>
    <font>
      <sz val="10"/>
      <name val="Calibri"/>
      <family val="2"/>
    </font>
    <font>
      <sz val="10"/>
      <color theme="0" tint="-0.14999847407452621"/>
      <name val="Arial"/>
      <family val="2"/>
    </font>
    <font>
      <sz val="10"/>
      <color rgb="FFFF0000"/>
      <name val="Arial"/>
      <family val="2"/>
    </font>
    <font>
      <u/>
      <sz val="10"/>
      <color theme="10"/>
      <name val="Arial"/>
      <family val="2"/>
    </font>
    <font>
      <sz val="36"/>
      <color theme="0"/>
      <name val="Wingdings 2"/>
      <family val="1"/>
      <charset val="2"/>
    </font>
    <font>
      <sz val="36"/>
      <color theme="0"/>
      <name val="Arial"/>
      <family val="2"/>
    </font>
    <font>
      <sz val="48"/>
      <color theme="0"/>
      <name val="Wingdings 2"/>
      <family val="1"/>
      <charset val="2"/>
    </font>
    <font>
      <sz val="72"/>
      <color theme="0"/>
      <name val="Wingdings 2"/>
      <family val="1"/>
      <charset val="2"/>
    </font>
    <font>
      <sz val="36"/>
      <color rgb="FF6FB055"/>
      <name val="Wingdings 2"/>
      <family val="1"/>
      <charset val="2"/>
    </font>
    <font>
      <sz val="18"/>
      <name val="Arial"/>
      <family val="2"/>
    </font>
    <font>
      <b/>
      <sz val="28"/>
      <name val="Arial"/>
      <family val="2"/>
    </font>
    <font>
      <b/>
      <sz val="8"/>
      <color theme="1"/>
      <name val="Arial"/>
      <family val="2"/>
    </font>
    <font>
      <sz val="8"/>
      <color theme="0"/>
      <name val="Arial"/>
      <family val="2"/>
    </font>
    <font>
      <u/>
      <sz val="11"/>
      <color theme="10"/>
      <name val="Arial"/>
      <family val="2"/>
      <scheme val="minor"/>
    </font>
    <font>
      <sz val="11"/>
      <color rgb="FFFF0000"/>
      <name val="Arial"/>
      <family val="2"/>
    </font>
  </fonts>
  <fills count="17">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6FB055"/>
        <bgColor indexed="64"/>
      </patternFill>
    </fill>
    <fill>
      <patternFill patternType="solid">
        <fgColor rgb="FFC0DDB5"/>
        <bgColor indexed="64"/>
      </patternFill>
    </fill>
    <fill>
      <patternFill patternType="solid">
        <fgColor rgb="FFC00000"/>
        <bgColor indexed="64"/>
      </patternFill>
    </fill>
    <fill>
      <patternFill patternType="solid">
        <fgColor theme="0" tint="-0.14999847407452621"/>
        <bgColor indexed="64"/>
      </patternFill>
    </fill>
    <fill>
      <patternFill patternType="solid">
        <fgColor theme="0"/>
        <bgColor indexed="64"/>
      </patternFill>
    </fill>
    <fill>
      <patternFill patternType="solid">
        <fgColor rgb="FFF5F5F5"/>
        <bgColor indexed="64"/>
      </patternFill>
    </fill>
    <fill>
      <patternFill patternType="solid">
        <fgColor theme="3" tint="0.79998168889431442"/>
        <bgColor indexed="64"/>
      </patternFill>
    </fill>
    <fill>
      <patternFill patternType="solid">
        <fgColor rgb="FF477335"/>
        <bgColor indexed="64"/>
      </patternFill>
    </fill>
    <fill>
      <patternFill patternType="solid">
        <fgColor theme="7" tint="0.79998168889431442"/>
        <bgColor indexed="64"/>
      </patternFill>
    </fill>
    <fill>
      <patternFill patternType="solid">
        <fgColor theme="2"/>
        <bgColor indexed="64"/>
      </patternFill>
    </fill>
    <fill>
      <patternFill patternType="solid">
        <fgColor rgb="FFFF0000"/>
        <bgColor indexed="64"/>
      </patternFill>
    </fill>
    <fill>
      <patternFill patternType="solid">
        <fgColor theme="1"/>
        <bgColor indexed="64"/>
      </patternFill>
    </fill>
    <fill>
      <patternFill patternType="solid">
        <fgColor theme="6"/>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6FB055"/>
      </left>
      <right style="thin">
        <color rgb="FF6FB055"/>
      </right>
      <top style="thin">
        <color rgb="FF6FB055"/>
      </top>
      <bottom/>
      <diagonal/>
    </border>
    <border>
      <left style="thin">
        <color rgb="FF6FB055"/>
      </left>
      <right style="thin">
        <color rgb="FF6FB055"/>
      </right>
      <top/>
      <bottom/>
      <diagonal/>
    </border>
    <border>
      <left style="thin">
        <color rgb="FF6FB055"/>
      </left>
      <right style="thin">
        <color rgb="FF6FB055"/>
      </right>
      <top/>
      <bottom style="thin">
        <color rgb="FF6FB055"/>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9">
    <xf numFmtId="0" fontId="0" fillId="0" borderId="0"/>
    <xf numFmtId="0" fontId="4" fillId="0" borderId="0"/>
    <xf numFmtId="0" fontId="5" fillId="0" borderId="0"/>
    <xf numFmtId="43" fontId="22" fillId="0" borderId="0" applyFont="0" applyFill="0" applyBorder="0" applyAlignment="0" applyProtection="0"/>
    <xf numFmtId="9" fontId="22" fillId="0" borderId="0" applyFont="0" applyFill="0" applyBorder="0" applyAlignment="0" applyProtection="0"/>
    <xf numFmtId="0" fontId="42" fillId="0" borderId="0" applyNumberFormat="0" applyFill="0" applyBorder="0" applyAlignment="0" applyProtection="0"/>
    <xf numFmtId="0" fontId="2" fillId="0" borderId="0"/>
    <xf numFmtId="0" fontId="3" fillId="0" borderId="0"/>
    <xf numFmtId="0" fontId="4" fillId="0" borderId="0"/>
    <xf numFmtId="0" fontId="3" fillId="0" borderId="0"/>
    <xf numFmtId="0" fontId="2" fillId="0" borderId="0"/>
    <xf numFmtId="0" fontId="52" fillId="0" borderId="0" applyNumberForma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2" fillId="0" borderId="0" applyNumberFormat="0" applyFill="0" applyBorder="0" applyAlignment="0" applyProtection="0"/>
    <xf numFmtId="0" fontId="1" fillId="0" borderId="0"/>
    <xf numFmtId="0" fontId="4" fillId="0" borderId="0"/>
    <xf numFmtId="0" fontId="1" fillId="0" borderId="0"/>
  </cellStyleXfs>
  <cellXfs count="416">
    <xf numFmtId="0" fontId="0" fillId="0" borderId="0" xfId="0"/>
    <xf numFmtId="0" fontId="6" fillId="0" borderId="0" xfId="0" applyFont="1"/>
    <xf numFmtId="14" fontId="6" fillId="0" borderId="0" xfId="0" applyNumberFormat="1" applyFont="1"/>
    <xf numFmtId="0" fontId="6" fillId="0" borderId="1" xfId="0" applyFont="1" applyBorder="1"/>
    <xf numFmtId="3" fontId="6" fillId="0" borderId="2" xfId="0" applyNumberFormat="1" applyFont="1" applyBorder="1" applyAlignment="1">
      <alignment horizontal="center"/>
    </xf>
    <xf numFmtId="3" fontId="6" fillId="0" borderId="3" xfId="0" applyNumberFormat="1" applyFont="1" applyBorder="1" applyAlignment="1">
      <alignment horizontal="center"/>
    </xf>
    <xf numFmtId="3" fontId="6" fillId="2" borderId="3" xfId="0" applyNumberFormat="1" applyFont="1" applyFill="1" applyBorder="1" applyAlignment="1">
      <alignment horizontal="center"/>
    </xf>
    <xf numFmtId="0" fontId="7" fillId="5" borderId="1" xfId="0" applyFont="1" applyFill="1" applyBorder="1" applyAlignment="1">
      <alignment horizontal="center"/>
    </xf>
    <xf numFmtId="0" fontId="6" fillId="0" borderId="1" xfId="0" applyFont="1" applyBorder="1" applyAlignment="1">
      <alignment horizontal="left"/>
    </xf>
    <xf numFmtId="0" fontId="12" fillId="6" borderId="3" xfId="0" applyFont="1" applyFill="1" applyBorder="1"/>
    <xf numFmtId="0" fontId="12" fillId="6" borderId="3" xfId="2" applyFont="1" applyFill="1" applyBorder="1"/>
    <xf numFmtId="0" fontId="6" fillId="6" borderId="3" xfId="0" applyFont="1" applyFill="1" applyBorder="1"/>
    <xf numFmtId="0" fontId="6" fillId="6" borderId="3" xfId="2" applyFont="1" applyFill="1" applyBorder="1"/>
    <xf numFmtId="0" fontId="12" fillId="6" borderId="9" xfId="0" applyFont="1" applyFill="1" applyBorder="1"/>
    <xf numFmtId="0" fontId="6" fillId="6" borderId="10" xfId="0" applyFont="1" applyFill="1" applyBorder="1"/>
    <xf numFmtId="0" fontId="6" fillId="6" borderId="4" xfId="0" applyFont="1" applyFill="1" applyBorder="1"/>
    <xf numFmtId="0" fontId="12" fillId="6" borderId="8" xfId="0" applyFont="1" applyFill="1" applyBorder="1" applyAlignment="1">
      <alignment vertical="center" wrapText="1"/>
    </xf>
    <xf numFmtId="0" fontId="9" fillId="6" borderId="5" xfId="0" applyFont="1" applyFill="1" applyBorder="1" applyAlignment="1">
      <alignment vertical="center" wrapText="1"/>
    </xf>
    <xf numFmtId="0" fontId="13" fillId="6" borderId="8"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9" fillId="0" borderId="0" xfId="0" applyFont="1" applyFill="1" applyBorder="1" applyAlignment="1">
      <alignment wrapText="1"/>
    </xf>
    <xf numFmtId="0" fontId="9" fillId="0" borderId="0" xfId="0" applyFont="1" applyFill="1" applyBorder="1" applyAlignment="1">
      <alignment horizontal="left"/>
    </xf>
    <xf numFmtId="0" fontId="6" fillId="0" borderId="1" xfId="0" applyFont="1" applyFill="1" applyBorder="1"/>
    <xf numFmtId="0" fontId="6" fillId="0" borderId="1" xfId="0" applyFont="1" applyFill="1" applyBorder="1" applyAlignment="1">
      <alignment horizontal="left"/>
    </xf>
    <xf numFmtId="0" fontId="6" fillId="0" borderId="0" xfId="0" applyFont="1" applyFill="1" applyBorder="1" applyAlignment="1">
      <alignment horizontal="center" vertical="center"/>
    </xf>
    <xf numFmtId="0" fontId="6" fillId="0" borderId="0" xfId="0" applyFont="1" applyFill="1"/>
    <xf numFmtId="165" fontId="6" fillId="0" borderId="3" xfId="0" applyNumberFormat="1" applyFont="1" applyFill="1" applyBorder="1" applyAlignment="1">
      <alignment horizontal="center"/>
    </xf>
    <xf numFmtId="14" fontId="6" fillId="2" borderId="3" xfId="0" applyNumberFormat="1" applyFont="1" applyFill="1" applyBorder="1" applyAlignment="1">
      <alignment horizontal="center"/>
    </xf>
    <xf numFmtId="14" fontId="6" fillId="0" borderId="3" xfId="0" applyNumberFormat="1" applyFont="1" applyBorder="1" applyAlignment="1">
      <alignment horizontal="center"/>
    </xf>
    <xf numFmtId="14" fontId="6" fillId="0" borderId="6" xfId="0" applyNumberFormat="1" applyFont="1" applyBorder="1" applyAlignment="1">
      <alignment horizontal="center"/>
    </xf>
    <xf numFmtId="3" fontId="6" fillId="0" borderId="6" xfId="0" applyNumberFormat="1" applyFont="1" applyBorder="1" applyAlignment="1">
      <alignment horizontal="center"/>
    </xf>
    <xf numFmtId="0" fontId="6" fillId="0" borderId="1" xfId="0" applyFont="1" applyFill="1" applyBorder="1" applyAlignment="1"/>
    <xf numFmtId="0" fontId="6" fillId="7" borderId="1" xfId="0" applyFont="1" applyFill="1" applyBorder="1"/>
    <xf numFmtId="0" fontId="6" fillId="7" borderId="1" xfId="0" applyFont="1" applyFill="1" applyBorder="1" applyAlignment="1">
      <alignment horizontal="left"/>
    </xf>
    <xf numFmtId="0" fontId="14" fillId="0" borderId="2" xfId="0" applyFont="1" applyFill="1" applyBorder="1" applyAlignment="1">
      <alignment horizontal="left" vertical="center"/>
    </xf>
    <xf numFmtId="0" fontId="15" fillId="0" borderId="0" xfId="0" applyFont="1"/>
    <xf numFmtId="0" fontId="6" fillId="0" borderId="0" xfId="0" applyFont="1" applyAlignment="1">
      <alignment vertical="top" wrapText="1"/>
    </xf>
    <xf numFmtId="0" fontId="17" fillId="0" borderId="0" xfId="0" applyFont="1" applyAlignment="1">
      <alignment horizontal="center"/>
    </xf>
    <xf numFmtId="9"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center"/>
      <protection locked="0"/>
    </xf>
    <xf numFmtId="0" fontId="6" fillId="3" borderId="13" xfId="0" applyFont="1" applyFill="1" applyBorder="1" applyAlignment="1" applyProtection="1">
      <alignment horizontal="center"/>
      <protection locked="0"/>
    </xf>
    <xf numFmtId="1" fontId="6" fillId="3" borderId="13" xfId="0" applyNumberFormat="1" applyFont="1" applyFill="1" applyBorder="1" applyAlignment="1" applyProtection="1">
      <alignment horizontal="center"/>
      <protection locked="0"/>
    </xf>
    <xf numFmtId="0" fontId="9" fillId="0" borderId="0" xfId="0" applyFont="1"/>
    <xf numFmtId="0" fontId="9" fillId="0" borderId="0" xfId="0" applyFont="1" applyBorder="1"/>
    <xf numFmtId="1" fontId="9" fillId="0" borderId="0" xfId="0" applyNumberFormat="1" applyFont="1"/>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10"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0" xfId="0" applyFont="1" applyFill="1" applyBorder="1" applyAlignment="1">
      <alignment horizontal="right" vertical="top" wrapText="1"/>
    </xf>
    <xf numFmtId="0" fontId="6" fillId="0" borderId="0" xfId="0" applyFont="1" applyFill="1" applyBorder="1"/>
    <xf numFmtId="3" fontId="6" fillId="0" borderId="0" xfId="0" applyNumberFormat="1" applyFont="1" applyFill="1" applyBorder="1" applyAlignment="1">
      <alignment horizontal="center"/>
    </xf>
    <xf numFmtId="0" fontId="6" fillId="6" borderId="5" xfId="0" applyFont="1" applyFill="1" applyBorder="1"/>
    <xf numFmtId="0" fontId="6" fillId="6" borderId="5" xfId="2" applyFont="1" applyFill="1" applyBorder="1"/>
    <xf numFmtId="0" fontId="6" fillId="0" borderId="5" xfId="0" applyFont="1" applyFill="1" applyBorder="1"/>
    <xf numFmtId="0" fontId="10"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4" fillId="7" borderId="1" xfId="0" applyFont="1" applyFill="1" applyBorder="1" applyAlignment="1">
      <alignment horizontal="left" vertical="center"/>
    </xf>
    <xf numFmtId="0" fontId="7" fillId="0" borderId="0" xfId="0" applyFont="1" applyAlignment="1">
      <alignment horizontal="left" vertical="center"/>
    </xf>
    <xf numFmtId="0" fontId="4" fillId="0" borderId="0" xfId="0" applyFont="1"/>
    <xf numFmtId="0" fontId="24" fillId="0" borderId="0" xfId="0" applyFont="1"/>
    <xf numFmtId="0" fontId="25" fillId="9" borderId="1" xfId="0" applyFont="1" applyFill="1" applyBorder="1" applyAlignment="1">
      <alignment horizontal="center" vertical="center" wrapText="1"/>
    </xf>
    <xf numFmtId="0" fontId="24" fillId="0" borderId="1" xfId="0" applyFont="1" applyBorder="1"/>
    <xf numFmtId="169" fontId="26" fillId="10" borderId="1" xfId="0" applyNumberFormat="1" applyFont="1" applyFill="1" applyBorder="1" applyAlignment="1">
      <alignment horizontal="center" vertical="center"/>
    </xf>
    <xf numFmtId="3" fontId="26" fillId="10" borderId="1" xfId="0" applyNumberFormat="1" applyFont="1" applyFill="1" applyBorder="1" applyAlignment="1">
      <alignment horizontal="center" vertical="center"/>
    </xf>
    <xf numFmtId="9" fontId="26" fillId="10" borderId="1" xfId="4" applyFont="1" applyFill="1" applyBorder="1" applyAlignment="1">
      <alignment horizontal="center" vertical="center"/>
    </xf>
    <xf numFmtId="169" fontId="20" fillId="10" borderId="1" xfId="0" applyNumberFormat="1" applyFont="1" applyFill="1" applyBorder="1" applyAlignment="1">
      <alignment horizontal="center" vertical="center"/>
    </xf>
    <xf numFmtId="0" fontId="4" fillId="0" borderId="0" xfId="0" applyFont="1" applyBorder="1" applyAlignment="1">
      <alignment horizontal="center"/>
    </xf>
    <xf numFmtId="168" fontId="24" fillId="0" borderId="0" xfId="3" applyNumberFormat="1" applyFont="1" applyBorder="1"/>
    <xf numFmtId="9" fontId="24" fillId="0" borderId="0" xfId="4" applyFont="1" applyFill="1" applyBorder="1"/>
    <xf numFmtId="168" fontId="24" fillId="0" borderId="0" xfId="3" applyNumberFormat="1" applyFont="1" applyFill="1" applyBorder="1"/>
    <xf numFmtId="10" fontId="24" fillId="0" borderId="0" xfId="0" applyNumberFormat="1" applyFont="1" applyFill="1" applyBorder="1"/>
    <xf numFmtId="10" fontId="24" fillId="0" borderId="0" xfId="4" applyNumberFormat="1" applyFont="1" applyFill="1" applyBorder="1"/>
    <xf numFmtId="14" fontId="6" fillId="2" borderId="6" xfId="0" applyNumberFormat="1" applyFont="1" applyFill="1" applyBorder="1" applyAlignment="1">
      <alignment horizontal="center"/>
    </xf>
    <xf numFmtId="3" fontId="6" fillId="2" borderId="6" xfId="0" applyNumberFormat="1" applyFont="1" applyFill="1" applyBorder="1" applyAlignment="1">
      <alignment horizontal="center"/>
    </xf>
    <xf numFmtId="0" fontId="14" fillId="8" borderId="0" xfId="0" applyFont="1" applyFill="1" applyBorder="1" applyAlignment="1">
      <alignment horizontal="center" vertical="center" wrapText="1"/>
    </xf>
    <xf numFmtId="14" fontId="6" fillId="2" borderId="2" xfId="0" applyNumberFormat="1" applyFont="1" applyFill="1" applyBorder="1" applyAlignment="1">
      <alignment horizontal="center"/>
    </xf>
    <xf numFmtId="3" fontId="6" fillId="2" borderId="2" xfId="0" applyNumberFormat="1" applyFont="1" applyFill="1" applyBorder="1" applyAlignment="1">
      <alignment horizontal="center"/>
    </xf>
    <xf numFmtId="14" fontId="6" fillId="0" borderId="2" xfId="0" applyNumberFormat="1" applyFont="1" applyBorder="1" applyAlignment="1">
      <alignment horizontal="center"/>
    </xf>
    <xf numFmtId="3" fontId="15" fillId="0" borderId="0" xfId="0" applyNumberFormat="1" applyFont="1"/>
    <xf numFmtId="14" fontId="15" fillId="0" borderId="0" xfId="0" applyNumberFormat="1" applyFont="1"/>
    <xf numFmtId="0" fontId="23" fillId="0" borderId="0" xfId="0" applyFont="1"/>
    <xf numFmtId="3" fontId="9" fillId="0" borderId="0" xfId="0" applyNumberFormat="1" applyFont="1"/>
    <xf numFmtId="0" fontId="24" fillId="0" borderId="1" xfId="0" applyFont="1" applyBorder="1" applyAlignment="1">
      <alignment horizontal="left" vertical="center"/>
    </xf>
    <xf numFmtId="9" fontId="24" fillId="0" borderId="1" xfId="4" applyFont="1" applyFill="1" applyBorder="1" applyAlignment="1">
      <alignment horizontal="center" vertical="center"/>
    </xf>
    <xf numFmtId="9" fontId="24" fillId="0" borderId="1" xfId="4" applyFont="1" applyFill="1" applyBorder="1" applyAlignment="1">
      <alignment horizontal="center"/>
    </xf>
    <xf numFmtId="169" fontId="20" fillId="13" borderId="1" xfId="0" applyNumberFormat="1" applyFont="1" applyFill="1" applyBorder="1" applyAlignment="1">
      <alignment horizontal="center" vertical="center"/>
    </xf>
    <xf numFmtId="0" fontId="0" fillId="0" borderId="17" xfId="0" applyBorder="1"/>
    <xf numFmtId="0" fontId="0" fillId="0" borderId="18" xfId="0" applyBorder="1"/>
    <xf numFmtId="0" fontId="0" fillId="0" borderId="19" xfId="0" applyBorder="1"/>
    <xf numFmtId="0" fontId="0" fillId="0" borderId="0" xfId="0" applyBorder="1"/>
    <xf numFmtId="0" fontId="0" fillId="0" borderId="20" xfId="0" applyBorder="1"/>
    <xf numFmtId="0" fontId="6" fillId="0" borderId="0" xfId="0" applyFont="1" applyBorder="1"/>
    <xf numFmtId="0" fontId="6" fillId="0" borderId="20" xfId="0" applyFont="1" applyBorder="1"/>
    <xf numFmtId="0" fontId="6" fillId="0" borderId="19" xfId="0" applyFont="1" applyBorder="1" applyAlignment="1">
      <alignment horizontal="left"/>
    </xf>
    <xf numFmtId="0" fontId="6" fillId="0" borderId="0" xfId="0" applyFont="1" applyBorder="1" applyAlignment="1">
      <alignment horizontal="left"/>
    </xf>
    <xf numFmtId="0" fontId="6" fillId="0" borderId="20" xfId="0" applyFont="1" applyBorder="1" applyAlignment="1">
      <alignment horizontal="left"/>
    </xf>
    <xf numFmtId="0" fontId="6" fillId="0" borderId="20" xfId="0" applyFont="1" applyBorder="1" applyAlignment="1">
      <alignment vertical="top" wrapText="1"/>
    </xf>
    <xf numFmtId="0" fontId="0" fillId="0" borderId="21" xfId="0" applyBorder="1"/>
    <xf numFmtId="0" fontId="0" fillId="0" borderId="22" xfId="0" applyBorder="1"/>
    <xf numFmtId="0" fontId="0" fillId="0" borderId="23" xfId="0" applyBorder="1"/>
    <xf numFmtId="3" fontId="26" fillId="13" borderId="1" xfId="0" applyNumberFormat="1" applyFont="1" applyFill="1" applyBorder="1" applyAlignment="1" applyProtection="1">
      <alignment horizontal="center" vertical="center"/>
      <protection locked="0"/>
    </xf>
    <xf numFmtId="0" fontId="7" fillId="5" borderId="1" xfId="0" applyFont="1" applyFill="1" applyBorder="1" applyAlignment="1">
      <alignment horizontal="center"/>
    </xf>
    <xf numFmtId="0" fontId="3" fillId="0" borderId="0" xfId="0" applyFont="1"/>
    <xf numFmtId="0" fontId="23" fillId="0" borderId="0" xfId="0" applyFont="1" applyAlignment="1">
      <alignment vertical="top" wrapText="1"/>
    </xf>
    <xf numFmtId="0" fontId="30" fillId="0" borderId="0" xfId="0" applyFont="1" applyAlignment="1"/>
    <xf numFmtId="0" fontId="16" fillId="7" borderId="1" xfId="0" applyFont="1" applyFill="1" applyBorder="1" applyAlignment="1">
      <alignment horizontal="center" vertical="center" wrapText="1"/>
    </xf>
    <xf numFmtId="0" fontId="0" fillId="0" borderId="16" xfId="0" applyBorder="1"/>
    <xf numFmtId="0" fontId="23" fillId="0" borderId="0" xfId="0" applyFont="1" applyBorder="1"/>
    <xf numFmtId="0" fontId="6" fillId="0" borderId="2" xfId="0" applyFont="1" applyFill="1" applyBorder="1" applyAlignment="1">
      <alignment horizontal="left"/>
    </xf>
    <xf numFmtId="0" fontId="4" fillId="0" borderId="0" xfId="0" applyFont="1" applyAlignment="1">
      <alignment vertical="top" wrapText="1"/>
    </xf>
    <xf numFmtId="0" fontId="4" fillId="0" borderId="7" xfId="0" applyFont="1" applyBorder="1" applyAlignment="1">
      <alignment vertical="top" wrapText="1"/>
    </xf>
    <xf numFmtId="0" fontId="4" fillId="0" borderId="0" xfId="0" applyFont="1" applyAlignment="1">
      <alignment horizontal="right" vertical="top" wrapText="1"/>
    </xf>
    <xf numFmtId="0" fontId="7" fillId="0" borderId="0" xfId="0" applyFont="1"/>
    <xf numFmtId="165" fontId="6" fillId="2" borderId="3" xfId="0" applyNumberFormat="1" applyFont="1" applyFill="1" applyBorder="1" applyAlignment="1">
      <alignment horizontal="center"/>
    </xf>
    <xf numFmtId="165" fontId="6" fillId="0" borderId="3" xfId="0" applyNumberFormat="1" applyFont="1" applyBorder="1" applyAlignment="1">
      <alignment horizontal="center"/>
    </xf>
    <xf numFmtId="165" fontId="6" fillId="0" borderId="2" xfId="0" applyNumberFormat="1" applyFont="1" applyBorder="1" applyAlignment="1">
      <alignment horizontal="center"/>
    </xf>
    <xf numFmtId="165" fontId="6" fillId="0" borderId="6" xfId="0" applyNumberFormat="1" applyFont="1" applyBorder="1" applyAlignment="1">
      <alignment horizontal="center"/>
    </xf>
    <xf numFmtId="165" fontId="6" fillId="2" borderId="2" xfId="0" applyNumberFormat="1" applyFont="1" applyFill="1" applyBorder="1" applyAlignment="1">
      <alignment horizontal="center"/>
    </xf>
    <xf numFmtId="165" fontId="6" fillId="2" borderId="6" xfId="0" applyNumberFormat="1" applyFont="1" applyFill="1" applyBorder="1" applyAlignment="1">
      <alignment horizontal="center"/>
    </xf>
    <xf numFmtId="168" fontId="0" fillId="0" borderId="0" xfId="0" applyNumberFormat="1"/>
    <xf numFmtId="0" fontId="1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6" fillId="0" borderId="0" xfId="0" applyFont="1" applyFill="1" applyAlignment="1">
      <alignment horizontal="left" vertical="top" wrapText="1"/>
    </xf>
    <xf numFmtId="0" fontId="0" fillId="0" borderId="0" xfId="0" applyFill="1"/>
    <xf numFmtId="0" fontId="6" fillId="0" borderId="19" xfId="0" applyFont="1" applyBorder="1" applyAlignment="1">
      <alignment horizontal="left" wrapText="1"/>
    </xf>
    <xf numFmtId="0" fontId="6" fillId="0" borderId="19" xfId="0" applyFont="1" applyBorder="1" applyAlignment="1">
      <alignment horizontal="left" vertical="top" indent="3"/>
    </xf>
    <xf numFmtId="0" fontId="6" fillId="0" borderId="19" xfId="0" applyFont="1" applyBorder="1" applyAlignment="1">
      <alignment horizontal="left" vertical="top" wrapText="1" indent="3"/>
    </xf>
    <xf numFmtId="0" fontId="6" fillId="0" borderId="0" xfId="0" applyFont="1" applyBorder="1" applyAlignment="1">
      <alignment horizontal="left" vertical="top" wrapText="1" indent="3"/>
    </xf>
    <xf numFmtId="0" fontId="6" fillId="0" borderId="0" xfId="0" applyFont="1" applyBorder="1" applyAlignment="1">
      <alignment wrapText="1"/>
    </xf>
    <xf numFmtId="0" fontId="7" fillId="0" borderId="0" xfId="0" applyFont="1" applyBorder="1" applyAlignment="1">
      <alignment horizontal="right" vertical="center" wrapText="1"/>
    </xf>
    <xf numFmtId="0" fontId="4" fillId="0" borderId="0" xfId="0" applyFont="1" applyBorder="1" applyAlignment="1">
      <alignment vertical="center" wrapText="1"/>
    </xf>
    <xf numFmtId="0" fontId="11" fillId="0" borderId="0" xfId="0" applyFont="1" applyBorder="1" applyAlignment="1">
      <alignment horizontal="right" vertical="center" wrapText="1"/>
    </xf>
    <xf numFmtId="0" fontId="19" fillId="8" borderId="0" xfId="0" applyFont="1" applyFill="1" applyBorder="1" applyAlignment="1">
      <alignment horizontal="center" vertical="center" wrapText="1"/>
    </xf>
    <xf numFmtId="0" fontId="38" fillId="11" borderId="1" xfId="0" applyFont="1" applyFill="1" applyBorder="1" applyAlignment="1">
      <alignment horizontal="left" vertical="center" wrapText="1"/>
    </xf>
    <xf numFmtId="14" fontId="4" fillId="8" borderId="13" xfId="0" applyNumberFormat="1" applyFont="1" applyFill="1" applyBorder="1" applyAlignment="1" applyProtection="1">
      <alignment horizontal="left" vertical="center"/>
      <protection locked="0"/>
    </xf>
    <xf numFmtId="3" fontId="4" fillId="8" borderId="13" xfId="0" applyNumberFormat="1" applyFont="1" applyFill="1" applyBorder="1" applyAlignment="1" applyProtection="1">
      <alignment horizontal="left" vertical="center"/>
      <protection locked="0"/>
    </xf>
    <xf numFmtId="14" fontId="4" fillId="8" borderId="1" xfId="0" applyNumberFormat="1" applyFont="1" applyFill="1" applyBorder="1" applyAlignment="1" applyProtection="1">
      <alignment horizontal="left" vertical="center" wrapText="1"/>
      <protection locked="0"/>
    </xf>
    <xf numFmtId="9" fontId="4" fillId="8" borderId="13" xfId="4" applyFont="1" applyFill="1" applyBorder="1" applyAlignment="1" applyProtection="1">
      <alignment horizontal="left" vertical="center"/>
      <protection locked="0"/>
    </xf>
    <xf numFmtId="1" fontId="26" fillId="13" borderId="1" xfId="0" applyNumberFormat="1" applyFont="1" applyFill="1" applyBorder="1" applyAlignment="1" applyProtection="1">
      <alignment horizontal="center" vertical="center"/>
      <protection locked="0"/>
    </xf>
    <xf numFmtId="170" fontId="24" fillId="0" borderId="1" xfId="3" applyNumberFormat="1" applyFont="1" applyFill="1" applyBorder="1" applyAlignment="1">
      <alignment horizontal="center" vertical="center"/>
    </xf>
    <xf numFmtId="14" fontId="24" fillId="0" borderId="1" xfId="3" applyNumberFormat="1" applyFont="1" applyFill="1" applyBorder="1" applyAlignment="1">
      <alignment horizontal="center" vertical="center"/>
    </xf>
    <xf numFmtId="0" fontId="41" fillId="0" borderId="0" xfId="0" applyFont="1"/>
    <xf numFmtId="0" fontId="24" fillId="0" borderId="1" xfId="0" applyFont="1" applyBorder="1" applyAlignment="1" applyProtection="1">
      <alignment horizontal="left" vertical="center"/>
      <protection locked="0"/>
    </xf>
    <xf numFmtId="170" fontId="24" fillId="0" borderId="1" xfId="3" applyNumberFormat="1" applyFont="1" applyFill="1" applyBorder="1" applyAlignment="1" applyProtection="1">
      <alignment horizontal="center" vertical="center"/>
      <protection locked="0"/>
    </xf>
    <xf numFmtId="0" fontId="29" fillId="0" borderId="16" xfId="0" applyFont="1" applyBorder="1" applyAlignment="1">
      <alignment horizontal="left"/>
    </xf>
    <xf numFmtId="0" fontId="6" fillId="0" borderId="19" xfId="0" applyFont="1" applyBorder="1" applyAlignment="1">
      <alignment horizontal="left" wrapText="1"/>
    </xf>
    <xf numFmtId="0" fontId="6" fillId="0" borderId="19" xfId="0" applyFont="1" applyBorder="1" applyAlignment="1">
      <alignment horizontal="left" vertical="top" indent="3"/>
    </xf>
    <xf numFmtId="0" fontId="17" fillId="8" borderId="0" xfId="0" applyFont="1" applyFill="1" applyBorder="1" applyAlignment="1">
      <alignment horizontal="center" vertical="center" wrapText="1"/>
    </xf>
    <xf numFmtId="0" fontId="6" fillId="0" borderId="1" xfId="0" applyFont="1" applyBorder="1" applyAlignment="1">
      <alignment horizontal="left"/>
    </xf>
    <xf numFmtId="0" fontId="11" fillId="0" borderId="0" xfId="0" applyFont="1"/>
    <xf numFmtId="0" fontId="0" fillId="0" borderId="0" xfId="0" applyAlignment="1">
      <alignment horizontal="center"/>
    </xf>
    <xf numFmtId="9" fontId="24" fillId="0" borderId="1" xfId="4" applyNumberFormat="1" applyFont="1" applyFill="1" applyBorder="1" applyAlignment="1">
      <alignment horizontal="center" vertical="center"/>
    </xf>
    <xf numFmtId="0" fontId="0" fillId="15" borderId="2" xfId="0" applyFill="1" applyBorder="1" applyAlignment="1">
      <alignment horizontal="center"/>
    </xf>
    <xf numFmtId="0" fontId="0" fillId="14" borderId="3" xfId="0" applyFill="1" applyBorder="1" applyAlignment="1">
      <alignment horizontal="center"/>
    </xf>
    <xf numFmtId="0" fontId="0" fillId="16" borderId="6" xfId="0" applyFill="1" applyBorder="1" applyAlignment="1">
      <alignment horizontal="center"/>
    </xf>
    <xf numFmtId="0" fontId="11" fillId="0" borderId="0" xfId="0" applyFont="1" applyAlignment="1">
      <alignment horizontal="center"/>
    </xf>
    <xf numFmtId="3" fontId="0" fillId="0" borderId="0" xfId="0" applyNumberFormat="1" applyAlignment="1">
      <alignment horizontal="center"/>
    </xf>
    <xf numFmtId="0" fontId="11" fillId="0" borderId="0" xfId="0" applyFont="1" applyAlignment="1">
      <alignment horizontal="right"/>
    </xf>
    <xf numFmtId="0" fontId="15" fillId="0" borderId="0" xfId="0" applyFont="1" applyAlignment="1">
      <alignment horizontal="center"/>
    </xf>
    <xf numFmtId="169" fontId="26" fillId="13" borderId="1" xfId="0" applyNumberFormat="1" applyFont="1" applyFill="1" applyBorder="1" applyAlignment="1">
      <alignment horizontal="center" vertical="center"/>
    </xf>
    <xf numFmtId="0" fontId="20" fillId="0" borderId="1" xfId="0" applyFont="1" applyFill="1" applyBorder="1" applyAlignment="1">
      <alignment horizontal="left" vertical="center"/>
    </xf>
    <xf numFmtId="3" fontId="15" fillId="0" borderId="0" xfId="0" applyNumberFormat="1" applyFont="1" applyAlignment="1">
      <alignment horizontal="center"/>
    </xf>
    <xf numFmtId="14" fontId="15" fillId="0" borderId="0" xfId="0" applyNumberFormat="1" applyFont="1" applyAlignment="1">
      <alignment horizontal="center"/>
    </xf>
    <xf numFmtId="164" fontId="6" fillId="3" borderId="1" xfId="0" applyNumberFormat="1" applyFont="1" applyFill="1" applyBorder="1" applyAlignment="1" applyProtection="1">
      <alignment horizontal="center" vertical="center"/>
      <protection locked="0"/>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6" fillId="0" borderId="19" xfId="0" applyFont="1" applyBorder="1" applyAlignment="1">
      <alignment horizontal="left" vertical="top"/>
    </xf>
    <xf numFmtId="0" fontId="6" fillId="0" borderId="0" xfId="0" applyFont="1" applyBorder="1" applyAlignment="1">
      <alignment horizontal="left" vertical="top"/>
    </xf>
    <xf numFmtId="0" fontId="6" fillId="0" borderId="20" xfId="0" applyFont="1" applyBorder="1" applyAlignment="1">
      <alignment horizontal="left" vertical="top"/>
    </xf>
    <xf numFmtId="0" fontId="6" fillId="0" borderId="19" xfId="0" applyFont="1" applyBorder="1" applyAlignment="1">
      <alignment horizontal="left" vertical="top" wrapText="1" indent="3"/>
    </xf>
    <xf numFmtId="0" fontId="6" fillId="0" borderId="0" xfId="0" applyFont="1" applyBorder="1" applyAlignment="1">
      <alignment horizontal="left" vertical="top" wrapText="1" indent="3"/>
    </xf>
    <xf numFmtId="0" fontId="42" fillId="0" borderId="19" xfId="5" applyBorder="1" applyAlignment="1">
      <alignment horizontal="left" vertical="top" wrapText="1" indent="3"/>
    </xf>
    <xf numFmtId="0" fontId="6" fillId="0" borderId="1" xfId="0" applyFont="1" applyBorder="1" applyAlignment="1">
      <alignment horizontal="left"/>
    </xf>
    <xf numFmtId="0" fontId="17" fillId="8" borderId="0" xfId="0" applyFont="1" applyFill="1" applyBorder="1" applyAlignment="1">
      <alignment horizontal="center" vertical="center" wrapText="1"/>
    </xf>
    <xf numFmtId="0" fontId="15" fillId="8" borderId="0" xfId="0" applyFont="1" applyFill="1"/>
    <xf numFmtId="3" fontId="26" fillId="3" borderId="1" xfId="0" applyNumberFormat="1" applyFont="1" applyFill="1" applyBorder="1" applyAlignment="1" applyProtection="1">
      <alignment horizontal="center" vertical="center"/>
      <protection locked="0"/>
    </xf>
    <xf numFmtId="0" fontId="0" fillId="0" borderId="0" xfId="0" applyProtection="1">
      <protection locked="0"/>
    </xf>
    <xf numFmtId="9" fontId="24" fillId="0" borderId="1" xfId="0" applyNumberFormat="1" applyFont="1" applyFill="1" applyBorder="1" applyAlignment="1">
      <alignment horizontal="center" vertical="center"/>
    </xf>
    <xf numFmtId="0" fontId="28" fillId="8" borderId="27" xfId="0" applyFont="1" applyFill="1" applyBorder="1" applyAlignment="1">
      <alignment vertical="top" wrapText="1"/>
    </xf>
    <xf numFmtId="0" fontId="28" fillId="12" borderId="1" xfId="0" applyFont="1" applyFill="1" applyBorder="1" applyAlignment="1">
      <alignment horizontal="center" vertical="center" wrapText="1"/>
    </xf>
    <xf numFmtId="0" fontId="12" fillId="6" borderId="0" xfId="0" applyFont="1" applyFill="1"/>
    <xf numFmtId="0" fontId="6" fillId="6" borderId="0" xfId="0" applyFont="1" applyFill="1"/>
    <xf numFmtId="0" fontId="6" fillId="0" borderId="1" xfId="0" applyFont="1" applyBorder="1" applyAlignment="1">
      <alignment horizontal="left"/>
    </xf>
    <xf numFmtId="0" fontId="21" fillId="8" borderId="0" xfId="0" applyFont="1" applyFill="1" applyAlignment="1">
      <alignment horizontal="left" vertical="center"/>
    </xf>
    <xf numFmtId="0" fontId="21" fillId="8" borderId="0" xfId="0" applyFont="1" applyFill="1" applyAlignment="1">
      <alignment horizontal="left" vertical="top"/>
    </xf>
    <xf numFmtId="0" fontId="6" fillId="0" borderId="0" xfId="0" applyFont="1" applyAlignment="1">
      <alignment vertical="top"/>
    </xf>
    <xf numFmtId="0" fontId="9" fillId="0" borderId="0" xfId="0" applyFont="1" applyAlignment="1">
      <alignment vertical="top"/>
    </xf>
    <xf numFmtId="0" fontId="21" fillId="8" borderId="0" xfId="0" applyFont="1" applyFill="1" applyAlignment="1" applyProtection="1">
      <alignment horizontal="left" vertical="center"/>
      <protection locked="0"/>
    </xf>
    <xf numFmtId="0" fontId="21" fillId="8" borderId="0" xfId="0" applyFont="1" applyFill="1" applyAlignment="1" applyProtection="1">
      <alignment horizontal="left" vertical="top"/>
      <protection locked="0"/>
    </xf>
    <xf numFmtId="0" fontId="7" fillId="0" borderId="0" xfId="0" applyFont="1" applyAlignment="1" applyProtection="1">
      <alignment horizontal="left" vertical="center"/>
      <protection locked="0"/>
    </xf>
    <xf numFmtId="0" fontId="14" fillId="8" borderId="0" xfId="0" applyFont="1" applyFill="1" applyBorder="1" applyAlignment="1" applyProtection="1">
      <alignment horizontal="center" vertical="center" wrapText="1"/>
      <protection locked="0"/>
    </xf>
    <xf numFmtId="0" fontId="19" fillId="8" borderId="0" xfId="0" applyFont="1" applyFill="1" applyBorder="1" applyAlignment="1" applyProtection="1">
      <alignment horizontal="center" vertical="center" wrapText="1"/>
      <protection locked="0"/>
    </xf>
    <xf numFmtId="0" fontId="6" fillId="0" borderId="0" xfId="0" applyFont="1" applyProtection="1">
      <protection locked="0"/>
    </xf>
    <xf numFmtId="0" fontId="6" fillId="0" borderId="0" xfId="0" applyFont="1" applyFill="1" applyProtection="1">
      <protection locked="0"/>
    </xf>
    <xf numFmtId="0" fontId="17" fillId="0" borderId="0" xfId="0" applyFont="1" applyAlignment="1"/>
    <xf numFmtId="0" fontId="10" fillId="4" borderId="1" xfId="0" applyFont="1" applyFill="1" applyBorder="1" applyAlignment="1"/>
    <xf numFmtId="0" fontId="10" fillId="4" borderId="14" xfId="0" applyFont="1" applyFill="1" applyBorder="1" applyAlignment="1"/>
    <xf numFmtId="0" fontId="10" fillId="4" borderId="13" xfId="0" applyFont="1" applyFill="1" applyBorder="1" applyAlignment="1"/>
    <xf numFmtId="0" fontId="17" fillId="0" borderId="0" xfId="0" applyFont="1" applyAlignment="1" applyProtection="1">
      <protection locked="0"/>
    </xf>
    <xf numFmtId="0" fontId="17" fillId="0" borderId="0" xfId="0" applyFont="1" applyAlignment="1" applyProtection="1">
      <alignment horizontal="center"/>
      <protection locked="0"/>
    </xf>
    <xf numFmtId="0" fontId="10" fillId="4" borderId="12" xfId="0" applyFont="1" applyFill="1" applyBorder="1" applyAlignment="1" applyProtection="1">
      <protection locked="0"/>
    </xf>
    <xf numFmtId="0" fontId="7" fillId="5" borderId="1" xfId="0" applyFont="1" applyFill="1" applyBorder="1" applyAlignment="1" applyProtection="1">
      <alignment horizontal="center"/>
      <protection locked="0"/>
    </xf>
    <xf numFmtId="164" fontId="9" fillId="0" borderId="0" xfId="0" applyNumberFormat="1" applyFont="1" applyFill="1" applyBorder="1" applyAlignment="1" applyProtection="1">
      <alignment horizontal="center" vertical="center"/>
      <protection locked="0"/>
    </xf>
    <xf numFmtId="164" fontId="24" fillId="0" borderId="1" xfId="4" applyNumberFormat="1" applyFont="1" applyFill="1" applyBorder="1" applyAlignment="1">
      <alignment horizontal="center" vertical="center"/>
    </xf>
    <xf numFmtId="0" fontId="10" fillId="0" borderId="0" xfId="0" applyFont="1"/>
    <xf numFmtId="0" fontId="15" fillId="0" borderId="0" xfId="0" applyFont="1" applyAlignment="1">
      <alignment horizontal="center"/>
    </xf>
    <xf numFmtId="0" fontId="24" fillId="0" borderId="0" xfId="0" applyFont="1" applyBorder="1" applyAlignment="1">
      <alignment horizontal="left" vertical="center"/>
    </xf>
    <xf numFmtId="9" fontId="24" fillId="0" borderId="0" xfId="4" applyFont="1" applyFill="1" applyBorder="1" applyAlignment="1">
      <alignment horizontal="center" vertical="center"/>
    </xf>
    <xf numFmtId="171" fontId="24" fillId="0" borderId="0" xfId="0" applyNumberFormat="1" applyFont="1" applyBorder="1" applyAlignment="1">
      <alignment horizontal="right" vertical="center"/>
    </xf>
    <xf numFmtId="0" fontId="27" fillId="4" borderId="4" xfId="0" applyFont="1" applyFill="1" applyBorder="1" applyAlignment="1">
      <alignment horizontal="center" vertical="center"/>
    </xf>
    <xf numFmtId="0" fontId="25" fillId="9" borderId="6" xfId="0" applyFont="1" applyFill="1" applyBorder="1" applyAlignment="1">
      <alignment horizontal="center" vertical="center" wrapText="1"/>
    </xf>
    <xf numFmtId="9" fontId="24" fillId="7" borderId="0" xfId="4" applyFont="1" applyFill="1" applyBorder="1" applyAlignment="1">
      <alignment horizontal="center" vertical="center"/>
    </xf>
    <xf numFmtId="0" fontId="50" fillId="7" borderId="0" xfId="0" applyFont="1" applyFill="1" applyBorder="1" applyAlignment="1">
      <alignment horizontal="left" vertical="center"/>
    </xf>
    <xf numFmtId="0" fontId="51" fillId="0" borderId="0" xfId="0" applyFont="1" applyAlignment="1">
      <alignment horizontal="center"/>
    </xf>
    <xf numFmtId="0" fontId="12" fillId="6" borderId="10" xfId="0" applyFont="1" applyFill="1" applyBorder="1"/>
    <xf numFmtId="0" fontId="51" fillId="8" borderId="0" xfId="0" applyFont="1" applyFill="1" applyAlignment="1">
      <alignment horizontal="center"/>
    </xf>
    <xf numFmtId="0" fontId="51" fillId="8" borderId="0" xfId="0" applyFont="1" applyFill="1"/>
    <xf numFmtId="0" fontId="51" fillId="0" borderId="0" xfId="0" applyFont="1"/>
    <xf numFmtId="0" fontId="15" fillId="0" borderId="0" xfId="0" applyFont="1" applyAlignment="1">
      <alignment horizontal="center"/>
    </xf>
    <xf numFmtId="0" fontId="15" fillId="0" borderId="0" xfId="0" applyFont="1" applyAlignment="1">
      <alignment horizontal="center"/>
    </xf>
    <xf numFmtId="3" fontId="23" fillId="0" borderId="0" xfId="0" applyNumberFormat="1" applyFont="1" applyAlignment="1">
      <alignment horizontal="center"/>
    </xf>
    <xf numFmtId="0" fontId="6" fillId="0" borderId="1" xfId="0" applyFont="1" applyBorder="1" applyAlignment="1">
      <alignment horizontal="left"/>
    </xf>
    <xf numFmtId="0" fontId="7" fillId="5" borderId="1" xfId="0" applyFont="1" applyFill="1" applyBorder="1" applyAlignment="1">
      <alignment horizontal="center"/>
    </xf>
    <xf numFmtId="0" fontId="6" fillId="0" borderId="0" xfId="0" applyFont="1" applyAlignment="1">
      <alignment vertical="top" wrapText="1"/>
    </xf>
    <xf numFmtId="166" fontId="19" fillId="0" borderId="0" xfId="0" applyNumberFormat="1" applyFont="1" applyAlignment="1" applyProtection="1">
      <alignment horizontal="right"/>
      <protection locked="0"/>
    </xf>
    <xf numFmtId="14" fontId="6" fillId="3" borderId="1" xfId="0" applyNumberFormat="1" applyFont="1" applyFill="1" applyBorder="1" applyAlignment="1" applyProtection="1">
      <alignment horizontal="center"/>
      <protection locked="0"/>
    </xf>
    <xf numFmtId="3" fontId="0" fillId="0" borderId="0" xfId="0" applyNumberFormat="1"/>
    <xf numFmtId="0" fontId="9" fillId="0" borderId="0" xfId="0" applyFont="1" applyFill="1" applyBorder="1"/>
    <xf numFmtId="0" fontId="9" fillId="0" borderId="0" xfId="0" applyFont="1" applyFill="1" applyBorder="1" applyAlignment="1">
      <alignment vertical="top"/>
    </xf>
    <xf numFmtId="0" fontId="9" fillId="0" borderId="0" xfId="0" applyFont="1" applyAlignment="1">
      <alignment horizontal="center" vertical="top"/>
    </xf>
    <xf numFmtId="0" fontId="9" fillId="0" borderId="0" xfId="0" applyFont="1" applyAlignment="1">
      <alignment horizontal="center"/>
    </xf>
    <xf numFmtId="0" fontId="15" fillId="0" borderId="0" xfId="0" applyFont="1" applyAlignment="1">
      <alignment vertical="top" wrapText="1"/>
    </xf>
    <xf numFmtId="0" fontId="9" fillId="0" borderId="0" xfId="0" applyFont="1" applyFill="1" applyBorder="1" applyAlignment="1">
      <alignment vertical="top" wrapText="1"/>
    </xf>
    <xf numFmtId="0" fontId="9" fillId="0" borderId="0" xfId="0" applyFont="1" applyFill="1" applyBorder="1" applyAlignment="1">
      <alignment horizontal="left" vertical="top" wrapText="1"/>
    </xf>
    <xf numFmtId="0" fontId="15" fillId="0" borderId="0" xfId="0" applyFont="1" applyFill="1" applyBorder="1" applyAlignment="1">
      <alignment horizontal="right" vertical="top" wrapText="1"/>
    </xf>
    <xf numFmtId="0" fontId="15" fillId="0" borderId="0" xfId="0" applyFont="1" applyFill="1" applyBorder="1" applyAlignment="1">
      <alignment horizontal="right" wrapText="1"/>
    </xf>
    <xf numFmtId="0" fontId="6" fillId="0" borderId="0" xfId="0" applyFont="1" applyAlignment="1">
      <alignment vertical="top" wrapText="1"/>
    </xf>
    <xf numFmtId="0" fontId="28" fillId="8" borderId="28" xfId="0" applyFont="1" applyFill="1" applyBorder="1" applyAlignment="1">
      <alignment vertical="top" wrapText="1"/>
    </xf>
    <xf numFmtId="0" fontId="28" fillId="8" borderId="29" xfId="0" applyFont="1" applyFill="1" applyBorder="1" applyAlignment="1">
      <alignment vertical="top" wrapText="1"/>
    </xf>
    <xf numFmtId="0" fontId="28" fillId="8" borderId="28" xfId="0" applyFont="1" applyFill="1" applyBorder="1" applyAlignment="1">
      <alignment horizontal="left" vertical="top" wrapText="1"/>
    </xf>
    <xf numFmtId="0" fontId="6" fillId="0" borderId="1" xfId="0" applyFont="1" applyBorder="1" applyAlignment="1">
      <alignment horizontal="left"/>
    </xf>
    <xf numFmtId="0" fontId="6" fillId="0" borderId="0" xfId="0" applyFont="1" applyAlignment="1">
      <alignment vertical="top" wrapText="1"/>
    </xf>
    <xf numFmtId="0" fontId="53" fillId="0" borderId="0" xfId="0" applyFont="1"/>
    <xf numFmtId="0" fontId="53" fillId="0" borderId="0" xfId="0" applyFont="1" applyAlignment="1">
      <alignment vertical="top"/>
    </xf>
    <xf numFmtId="0" fontId="41" fillId="0" borderId="0" xfId="0" applyFont="1" applyAlignment="1">
      <alignment vertical="top" wrapText="1"/>
    </xf>
    <xf numFmtId="9" fontId="4" fillId="8" borderId="13" xfId="4" applyFont="1" applyFill="1" applyBorder="1" applyAlignment="1" applyProtection="1">
      <alignment horizontal="left" wrapText="1"/>
      <protection locked="0"/>
    </xf>
    <xf numFmtId="0" fontId="4" fillId="0" borderId="0" xfId="0" applyFont="1" applyAlignment="1">
      <alignment horizontal="center"/>
    </xf>
    <xf numFmtId="0" fontId="19" fillId="0" borderId="0" xfId="0" applyFont="1" applyAlignment="1">
      <alignment horizontal="right"/>
    </xf>
    <xf numFmtId="0" fontId="38" fillId="14" borderId="0" xfId="0" applyFont="1" applyFill="1" applyAlignment="1">
      <alignment horizontal="center" vertical="center" wrapText="1"/>
    </xf>
    <xf numFmtId="166" fontId="19" fillId="0" borderId="0" xfId="0" applyNumberFormat="1" applyFont="1" applyAlignment="1" applyProtection="1">
      <alignment horizontal="right"/>
      <protection locked="0"/>
    </xf>
    <xf numFmtId="0" fontId="6" fillId="0" borderId="0" xfId="0" applyFont="1" applyAlignment="1">
      <alignment horizontal="left" vertical="top" wrapText="1"/>
    </xf>
    <xf numFmtId="0" fontId="43" fillId="0" borderId="0" xfId="0" applyFont="1" applyFill="1" applyBorder="1" applyAlignment="1">
      <alignment horizontal="center" vertical="center"/>
    </xf>
    <xf numFmtId="0" fontId="44" fillId="0" borderId="0" xfId="0" applyFont="1" applyFill="1" applyBorder="1" applyAlignment="1">
      <alignment horizontal="center" vertical="center"/>
    </xf>
    <xf numFmtId="0" fontId="6" fillId="0" borderId="0" xfId="0" applyFont="1" applyAlignment="1">
      <alignment horizontal="right" vertical="top" wrapText="1"/>
    </xf>
    <xf numFmtId="0" fontId="28" fillId="12" borderId="2" xfId="0" applyFont="1" applyFill="1" applyBorder="1" applyAlignment="1">
      <alignment horizontal="center" vertical="center" wrapText="1"/>
    </xf>
    <xf numFmtId="0" fontId="28" fillId="12" borderId="3" xfId="0" applyFont="1" applyFill="1" applyBorder="1" applyAlignment="1">
      <alignment horizontal="center" vertical="center" wrapText="1"/>
    </xf>
    <xf numFmtId="0" fontId="28" fillId="12" borderId="6" xfId="0" applyFont="1" applyFill="1" applyBorder="1" applyAlignment="1">
      <alignment horizontal="center" vertical="center" wrapText="1"/>
    </xf>
    <xf numFmtId="0" fontId="6" fillId="0" borderId="0" xfId="0" applyFont="1" applyAlignment="1">
      <alignment vertical="top" wrapText="1"/>
    </xf>
    <xf numFmtId="0" fontId="6" fillId="0" borderId="19" xfId="0" applyFont="1" applyBorder="1" applyAlignment="1">
      <alignment horizontal="left" vertical="top" wrapText="1"/>
    </xf>
    <xf numFmtId="0" fontId="6" fillId="0" borderId="0" xfId="0" applyFont="1" applyBorder="1" applyAlignment="1">
      <alignment horizontal="left" vertical="top" wrapText="1"/>
    </xf>
    <xf numFmtId="0" fontId="6" fillId="0" borderId="20" xfId="0" applyFont="1" applyBorder="1" applyAlignment="1">
      <alignment horizontal="left" vertical="top" wrapText="1"/>
    </xf>
    <xf numFmtId="0" fontId="34" fillId="0" borderId="16"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20" xfId="0" applyFont="1" applyBorder="1" applyAlignment="1">
      <alignment horizontal="center" vertical="center"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3" xfId="0" applyFont="1" applyBorder="1" applyAlignment="1">
      <alignment horizontal="left" vertical="top" wrapText="1"/>
    </xf>
    <xf numFmtId="0" fontId="7" fillId="5" borderId="14" xfId="0" applyFont="1" applyFill="1" applyBorder="1" applyAlignment="1">
      <alignment horizontal="center"/>
    </xf>
    <xf numFmtId="0" fontId="7" fillId="5" borderId="13" xfId="0" applyFont="1" applyFill="1" applyBorder="1" applyAlignment="1">
      <alignment horizontal="center"/>
    </xf>
    <xf numFmtId="0" fontId="6" fillId="0" borderId="1" xfId="0" applyFont="1" applyBorder="1" applyAlignment="1">
      <alignment horizontal="left"/>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6" xfId="0" applyFont="1" applyFill="1" applyBorder="1" applyAlignment="1">
      <alignment horizontal="center" vertical="center"/>
    </xf>
    <xf numFmtId="0" fontId="7" fillId="5" borderId="1" xfId="0" applyFont="1" applyFill="1" applyBorder="1" applyAlignment="1">
      <alignment horizontal="center"/>
    </xf>
    <xf numFmtId="0" fontId="8" fillId="0" borderId="1" xfId="0" applyFont="1" applyBorder="1" applyAlignment="1">
      <alignment horizontal="center" vertical="center"/>
    </xf>
    <xf numFmtId="0" fontId="6" fillId="7" borderId="1" xfId="0" applyFont="1" applyFill="1" applyBorder="1" applyAlignment="1">
      <alignment horizontal="left" vertical="center"/>
    </xf>
    <xf numFmtId="9" fontId="6" fillId="3" borderId="2" xfId="14" applyFont="1" applyFill="1" applyBorder="1" applyAlignment="1" applyProtection="1">
      <alignment horizontal="center" vertical="center"/>
      <protection locked="0"/>
    </xf>
    <xf numFmtId="9" fontId="6" fillId="3" borderId="6" xfId="14" applyFont="1" applyFill="1" applyBorder="1" applyAlignment="1" applyProtection="1">
      <alignment horizontal="center" vertical="center"/>
      <protection locked="0"/>
    </xf>
    <xf numFmtId="0" fontId="19" fillId="7" borderId="1" xfId="0" applyFont="1" applyFill="1" applyBorder="1" applyAlignment="1">
      <alignment horizontal="left" vertical="center" wrapText="1"/>
    </xf>
    <xf numFmtId="0" fontId="6" fillId="7" borderId="2" xfId="0" applyFont="1" applyFill="1" applyBorder="1" applyAlignment="1">
      <alignment horizontal="left" vertical="center"/>
    </xf>
    <xf numFmtId="0" fontId="6" fillId="7" borderId="6" xfId="0" applyFont="1" applyFill="1" applyBorder="1" applyAlignment="1">
      <alignment horizontal="left" vertical="center"/>
    </xf>
    <xf numFmtId="167" fontId="20" fillId="0" borderId="0" xfId="0" applyNumberFormat="1" applyFont="1" applyAlignment="1">
      <alignment horizontal="left" vertical="center"/>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9" fontId="4" fillId="3" borderId="14" xfId="4" applyFont="1" applyFill="1" applyBorder="1" applyAlignment="1" applyProtection="1">
      <alignment horizontal="center" vertical="center"/>
      <protection locked="0"/>
    </xf>
    <xf numFmtId="9" fontId="4" fillId="3" borderId="12" xfId="4" applyFont="1" applyFill="1" applyBorder="1" applyAlignment="1" applyProtection="1">
      <alignment horizontal="center" vertical="center"/>
      <protection locked="0"/>
    </xf>
    <xf numFmtId="9" fontId="4" fillId="3" borderId="13" xfId="4" applyFont="1" applyFill="1" applyBorder="1" applyAlignment="1" applyProtection="1">
      <alignment horizontal="center" vertical="center"/>
      <protection locked="0"/>
    </xf>
    <xf numFmtId="0" fontId="4" fillId="0" borderId="1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3" fontId="4" fillId="3" borderId="14" xfId="0" applyNumberFormat="1" applyFont="1" applyFill="1" applyBorder="1" applyAlignment="1" applyProtection="1">
      <alignment horizontal="center" vertical="center" wrapText="1"/>
      <protection locked="0"/>
    </xf>
    <xf numFmtId="3" fontId="4" fillId="3" borderId="12" xfId="0" applyNumberFormat="1" applyFont="1" applyFill="1" applyBorder="1" applyAlignment="1" applyProtection="1">
      <alignment horizontal="center" vertical="center" wrapText="1"/>
      <protection locked="0"/>
    </xf>
    <xf numFmtId="3" fontId="4" fillId="3" borderId="13" xfId="0" applyNumberFormat="1"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14" fontId="4" fillId="3" borderId="10" xfId="0" applyNumberFormat="1" applyFont="1" applyFill="1" applyBorder="1" applyAlignment="1" applyProtection="1">
      <alignment horizontal="center" vertical="center" wrapText="1"/>
      <protection locked="0"/>
    </xf>
    <xf numFmtId="14" fontId="4" fillId="3" borderId="4" xfId="0" applyNumberFormat="1" applyFont="1" applyFill="1" applyBorder="1" applyAlignment="1" applyProtection="1">
      <alignment horizontal="center" vertical="center" wrapText="1"/>
      <protection locked="0"/>
    </xf>
    <xf numFmtId="14" fontId="4" fillId="3" borderId="8" xfId="0" applyNumberFormat="1" applyFont="1" applyFill="1" applyBorder="1" applyAlignment="1" applyProtection="1">
      <alignment horizontal="center" vertical="center" wrapText="1"/>
      <protection locked="0"/>
    </xf>
    <xf numFmtId="14" fontId="4" fillId="3" borderId="0" xfId="0" applyNumberFormat="1" applyFont="1" applyFill="1" applyBorder="1" applyAlignment="1" applyProtection="1">
      <alignment horizontal="center" vertical="center" wrapText="1"/>
      <protection locked="0"/>
    </xf>
    <xf numFmtId="14" fontId="4" fillId="3" borderId="5" xfId="0" applyNumberFormat="1" applyFont="1" applyFill="1" applyBorder="1" applyAlignment="1" applyProtection="1">
      <alignment horizontal="center" vertical="center" wrapText="1"/>
      <protection locked="0"/>
    </xf>
    <xf numFmtId="14" fontId="4" fillId="3" borderId="11" xfId="0" applyNumberFormat="1" applyFont="1" applyFill="1" applyBorder="1" applyAlignment="1" applyProtection="1">
      <alignment horizontal="center" vertical="center" wrapText="1"/>
      <protection locked="0"/>
    </xf>
    <xf numFmtId="14" fontId="4" fillId="3" borderId="7" xfId="0" applyNumberFormat="1" applyFont="1" applyFill="1" applyBorder="1" applyAlignment="1" applyProtection="1">
      <alignment horizontal="center" vertical="center" wrapText="1"/>
      <protection locked="0"/>
    </xf>
    <xf numFmtId="14" fontId="4" fillId="3" borderId="15" xfId="0" applyNumberFormat="1" applyFont="1" applyFill="1" applyBorder="1" applyAlignment="1" applyProtection="1">
      <alignment horizontal="center" vertical="center" wrapText="1"/>
      <protection locked="0"/>
    </xf>
    <xf numFmtId="14" fontId="4" fillId="8" borderId="2" xfId="0" applyNumberFormat="1" applyFont="1" applyFill="1" applyBorder="1" applyAlignment="1" applyProtection="1">
      <alignment horizontal="left" wrapText="1"/>
      <protection locked="0"/>
    </xf>
    <xf numFmtId="14" fontId="4" fillId="8" borderId="3" xfId="0" applyNumberFormat="1" applyFont="1" applyFill="1" applyBorder="1" applyAlignment="1" applyProtection="1">
      <alignment horizontal="left" wrapText="1"/>
      <protection locked="0"/>
    </xf>
    <xf numFmtId="14" fontId="4" fillId="8" borderId="6" xfId="0" applyNumberFormat="1" applyFont="1" applyFill="1" applyBorder="1" applyAlignment="1" applyProtection="1">
      <alignment horizontal="left" wrapText="1"/>
      <protection locked="0"/>
    </xf>
    <xf numFmtId="0" fontId="11" fillId="0" borderId="9"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left" vertical="center" wrapText="1"/>
    </xf>
    <xf numFmtId="0" fontId="11"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38" fillId="11" borderId="14" xfId="0" applyFont="1" applyFill="1" applyBorder="1" applyAlignment="1">
      <alignment horizontal="center" vertical="center"/>
    </xf>
    <xf numFmtId="0" fontId="38" fillId="11" borderId="13" xfId="0" applyFont="1" applyFill="1" applyBorder="1" applyAlignment="1">
      <alignment horizontal="center" vertical="center"/>
    </xf>
    <xf numFmtId="0" fontId="38" fillId="11" borderId="14" xfId="0" applyFont="1" applyFill="1" applyBorder="1" applyAlignment="1" applyProtection="1">
      <alignment horizontal="center" vertical="center" wrapText="1"/>
      <protection locked="0"/>
    </xf>
    <xf numFmtId="0" fontId="38" fillId="11" borderId="12" xfId="0" applyFont="1" applyFill="1" applyBorder="1" applyAlignment="1" applyProtection="1">
      <alignment horizontal="center" vertical="center" wrapText="1"/>
      <protection locked="0"/>
    </xf>
    <xf numFmtId="0" fontId="38" fillId="11" borderId="13" xfId="0" applyFont="1" applyFill="1" applyBorder="1" applyAlignment="1" applyProtection="1">
      <alignment horizontal="center" vertical="center" wrapText="1"/>
      <protection locked="0"/>
    </xf>
    <xf numFmtId="14" fontId="4" fillId="3" borderId="14" xfId="0" applyNumberFormat="1" applyFont="1" applyFill="1" applyBorder="1" applyAlignment="1" applyProtection="1">
      <alignment horizontal="center" vertical="center"/>
      <protection locked="0"/>
    </xf>
    <xf numFmtId="14" fontId="4" fillId="3" borderId="12" xfId="0" applyNumberFormat="1" applyFont="1" applyFill="1" applyBorder="1" applyAlignment="1" applyProtection="1">
      <alignment horizontal="center" vertical="center"/>
      <protection locked="0"/>
    </xf>
    <xf numFmtId="14" fontId="4" fillId="3" borderId="13" xfId="0" applyNumberFormat="1" applyFont="1" applyFill="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3" fontId="40" fillId="8" borderId="14" xfId="0" applyNumberFormat="1" applyFont="1" applyFill="1" applyBorder="1" applyAlignment="1" applyProtection="1">
      <alignment horizontal="center" vertical="center"/>
      <protection locked="0"/>
    </xf>
    <xf numFmtId="3" fontId="40" fillId="8" borderId="12" xfId="0" applyNumberFormat="1" applyFont="1" applyFill="1" applyBorder="1" applyAlignment="1" applyProtection="1">
      <alignment horizontal="center" vertical="center"/>
      <protection locked="0"/>
    </xf>
    <xf numFmtId="3" fontId="40" fillId="8" borderId="13" xfId="0" applyNumberFormat="1" applyFont="1" applyFill="1" applyBorder="1" applyAlignment="1" applyProtection="1">
      <alignment horizontal="center" vertical="center"/>
      <protection locked="0"/>
    </xf>
    <xf numFmtId="0" fontId="11"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164" fontId="4" fillId="7" borderId="9" xfId="4" applyNumberFormat="1" applyFont="1" applyFill="1" applyBorder="1" applyAlignment="1">
      <alignment horizontal="center" vertical="center" wrapText="1"/>
    </xf>
    <xf numFmtId="164" fontId="4" fillId="7" borderId="4" xfId="4" applyNumberFormat="1" applyFont="1" applyFill="1" applyBorder="1" applyAlignment="1">
      <alignment horizontal="center" vertical="center" wrapText="1"/>
    </xf>
    <xf numFmtId="164" fontId="4" fillId="7" borderId="11" xfId="4" applyNumberFormat="1" applyFont="1" applyFill="1" applyBorder="1" applyAlignment="1">
      <alignment horizontal="center" vertical="center" wrapText="1"/>
    </xf>
    <xf numFmtId="164" fontId="4" fillId="7" borderId="15" xfId="4" applyNumberFormat="1" applyFont="1" applyFill="1" applyBorder="1" applyAlignment="1">
      <alignment horizontal="center" vertical="center" wrapText="1"/>
    </xf>
    <xf numFmtId="9" fontId="4" fillId="3" borderId="9" xfId="4" applyFont="1" applyFill="1" applyBorder="1" applyAlignment="1" applyProtection="1">
      <alignment horizontal="center" vertical="center" wrapText="1"/>
      <protection locked="0"/>
    </xf>
    <xf numFmtId="9" fontId="4" fillId="3" borderId="10" xfId="4" applyFont="1" applyFill="1" applyBorder="1" applyAlignment="1" applyProtection="1">
      <alignment horizontal="center" vertical="center" wrapText="1"/>
      <protection locked="0"/>
    </xf>
    <xf numFmtId="9" fontId="4" fillId="3" borderId="4" xfId="4" applyFont="1" applyFill="1" applyBorder="1" applyAlignment="1" applyProtection="1">
      <alignment horizontal="center" vertical="center" wrapText="1"/>
      <protection locked="0"/>
    </xf>
    <xf numFmtId="9" fontId="4" fillId="3" borderId="11" xfId="4" applyFont="1" applyFill="1" applyBorder="1" applyAlignment="1" applyProtection="1">
      <alignment horizontal="center" vertical="center" wrapText="1"/>
      <protection locked="0"/>
    </xf>
    <xf numFmtId="9" fontId="4" fillId="3" borderId="7" xfId="4" applyFont="1" applyFill="1" applyBorder="1" applyAlignment="1" applyProtection="1">
      <alignment horizontal="center" vertical="center" wrapText="1"/>
      <protection locked="0"/>
    </xf>
    <xf numFmtId="9" fontId="4" fillId="3" borderId="15" xfId="4" applyFont="1" applyFill="1" applyBorder="1" applyAlignment="1" applyProtection="1">
      <alignment horizontal="center" vertical="center" wrapText="1"/>
      <protection locked="0"/>
    </xf>
    <xf numFmtId="0" fontId="4" fillId="0" borderId="14" xfId="0" applyFont="1" applyBorder="1" applyAlignment="1">
      <alignment horizontal="left" vertical="center" wrapText="1"/>
    </xf>
    <xf numFmtId="0" fontId="11" fillId="0" borderId="14"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4" fillId="0" borderId="14" xfId="0" applyFont="1" applyBorder="1" applyAlignment="1">
      <alignment vertical="center" wrapText="1"/>
    </xf>
    <xf numFmtId="0" fontId="4" fillId="0" borderId="12" xfId="0" applyFont="1" applyBorder="1" applyAlignment="1">
      <alignment vertical="center" wrapText="1"/>
    </xf>
    <xf numFmtId="0" fontId="4" fillId="0" borderId="0" xfId="0" applyFont="1" applyBorder="1" applyAlignment="1">
      <alignment horizontal="right" vertical="top" wrapText="1"/>
    </xf>
    <xf numFmtId="0" fontId="4" fillId="0" borderId="7" xfId="0" applyFont="1" applyBorder="1" applyAlignment="1">
      <alignment horizontal="right" vertical="top" wrapText="1"/>
    </xf>
    <xf numFmtId="0" fontId="4" fillId="0" borderId="14"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38" fillId="11" borderId="14" xfId="0" applyFont="1" applyFill="1" applyBorder="1" applyAlignment="1">
      <alignment vertical="center" wrapText="1"/>
    </xf>
    <xf numFmtId="0" fontId="38" fillId="11" borderId="12" xfId="0" applyFont="1" applyFill="1" applyBorder="1" applyAlignment="1">
      <alignment vertical="center" wrapText="1"/>
    </xf>
    <xf numFmtId="0" fontId="38" fillId="11" borderId="13" xfId="0" applyFont="1" applyFill="1" applyBorder="1" applyAlignment="1">
      <alignment vertical="center" wrapText="1"/>
    </xf>
    <xf numFmtId="0" fontId="4" fillId="0" borderId="13" xfId="0" applyFont="1" applyBorder="1" applyAlignment="1">
      <alignment vertical="center" wrapText="1"/>
    </xf>
    <xf numFmtId="0" fontId="27" fillId="4" borderId="2" xfId="0" applyFont="1" applyFill="1" applyBorder="1" applyAlignment="1">
      <alignment horizontal="center" vertical="center" wrapText="1"/>
    </xf>
    <xf numFmtId="0" fontId="27" fillId="4" borderId="6" xfId="0" applyFont="1" applyFill="1" applyBorder="1" applyAlignment="1">
      <alignment horizontal="center" vertical="center" wrapText="1"/>
    </xf>
    <xf numFmtId="0" fontId="27" fillId="4" borderId="1"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7" xfId="0" applyFont="1" applyFill="1" applyBorder="1" applyAlignment="1">
      <alignment horizontal="center" vertical="center"/>
    </xf>
    <xf numFmtId="0" fontId="27" fillId="4" borderId="10" xfId="0" applyFont="1" applyFill="1" applyBorder="1" applyAlignment="1">
      <alignment horizontal="center" vertical="center"/>
    </xf>
    <xf numFmtId="0" fontId="27" fillId="4" borderId="14" xfId="0" applyFont="1" applyFill="1" applyBorder="1" applyAlignment="1">
      <alignment horizontal="center" vertical="center"/>
    </xf>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xf>
    <xf numFmtId="0" fontId="10" fillId="4" borderId="14"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3" fillId="2" borderId="1" xfId="0" applyFont="1" applyFill="1" applyBorder="1" applyAlignment="1">
      <alignment horizontal="center" vertical="center" textRotation="90"/>
    </xf>
    <xf numFmtId="0" fontId="21" fillId="8" borderId="0" xfId="0" applyFont="1" applyFill="1" applyAlignment="1">
      <alignment horizontal="left" vertical="center"/>
    </xf>
    <xf numFmtId="0" fontId="3" fillId="0" borderId="1" xfId="0" applyFont="1" applyFill="1" applyBorder="1" applyAlignment="1">
      <alignment horizontal="center" vertical="center" textRotation="90"/>
    </xf>
    <xf numFmtId="0" fontId="3" fillId="0" borderId="2" xfId="0" applyFont="1" applyFill="1" applyBorder="1" applyAlignment="1">
      <alignment horizontal="center" vertical="center" textRotation="90"/>
    </xf>
    <xf numFmtId="0" fontId="7" fillId="5" borderId="1" xfId="0" applyFont="1" applyFill="1" applyBorder="1" applyAlignment="1">
      <alignment horizontal="center" vertical="center" wrapText="1"/>
    </xf>
    <xf numFmtId="0" fontId="3" fillId="0" borderId="1" xfId="0" quotePrefix="1" applyFont="1" applyFill="1" applyBorder="1" applyAlignment="1">
      <alignment horizontal="center" vertical="center" textRotation="90"/>
    </xf>
    <xf numFmtId="0" fontId="3" fillId="2" borderId="1" xfId="0" quotePrefix="1" applyFont="1" applyFill="1" applyBorder="1" applyAlignment="1">
      <alignment horizontal="center" vertical="center" textRotation="90"/>
    </xf>
    <xf numFmtId="0" fontId="45" fillId="0" borderId="0"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5" xfId="0" applyFont="1" applyFill="1" applyBorder="1" applyAlignment="1">
      <alignment horizontal="center" vertical="center"/>
    </xf>
    <xf numFmtId="0" fontId="16" fillId="5" borderId="1" xfId="0" applyFont="1" applyFill="1" applyBorder="1" applyAlignment="1">
      <alignment horizontal="center" vertical="center" wrapText="1"/>
    </xf>
    <xf numFmtId="0" fontId="49" fillId="0" borderId="0" xfId="0" applyFont="1" applyAlignment="1">
      <alignment horizontal="left" vertical="center"/>
    </xf>
    <xf numFmtId="0" fontId="48" fillId="0" borderId="0" xfId="0" applyFont="1" applyAlignment="1">
      <alignment horizontal="left"/>
    </xf>
    <xf numFmtId="0" fontId="15" fillId="0" borderId="0" xfId="0" applyFont="1" applyAlignment="1">
      <alignment horizontal="center"/>
    </xf>
    <xf numFmtId="0" fontId="32" fillId="4" borderId="16" xfId="0" applyFont="1" applyFill="1" applyBorder="1" applyAlignment="1">
      <alignment horizontal="center" vertical="center"/>
    </xf>
    <xf numFmtId="0" fontId="32" fillId="4" borderId="17" xfId="0" applyFont="1" applyFill="1" applyBorder="1" applyAlignment="1">
      <alignment horizontal="center" vertical="center"/>
    </xf>
    <xf numFmtId="0" fontId="32" fillId="4" borderId="18" xfId="0" applyFont="1" applyFill="1" applyBorder="1" applyAlignment="1">
      <alignment horizontal="center" vertical="center"/>
    </xf>
    <xf numFmtId="0" fontId="32" fillId="4" borderId="21" xfId="0" applyFont="1" applyFill="1" applyBorder="1" applyAlignment="1">
      <alignment horizontal="center" vertical="center"/>
    </xf>
    <xf numFmtId="0" fontId="32" fillId="4" borderId="22" xfId="0" applyFont="1" applyFill="1" applyBorder="1" applyAlignment="1">
      <alignment horizontal="center" vertical="center"/>
    </xf>
    <xf numFmtId="0" fontId="32" fillId="4" borderId="23"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0" xfId="0" applyFont="1" applyFill="1" applyBorder="1" applyAlignment="1">
      <alignment horizontal="center" vertical="center"/>
    </xf>
    <xf numFmtId="0" fontId="32" fillId="4" borderId="20" xfId="0" applyFont="1" applyFill="1" applyBorder="1" applyAlignment="1">
      <alignment horizontal="center" vertical="center"/>
    </xf>
    <xf numFmtId="0" fontId="23" fillId="0" borderId="0" xfId="0" applyFont="1" applyAlignment="1">
      <alignment horizontal="right" vertical="top" wrapText="1"/>
    </xf>
    <xf numFmtId="0" fontId="30" fillId="0" borderId="0" xfId="0" applyFont="1" applyAlignment="1">
      <alignment horizontal="center"/>
    </xf>
    <xf numFmtId="0" fontId="46" fillId="8" borderId="0" xfId="0" applyFont="1" applyFill="1" applyBorder="1" applyAlignment="1">
      <alignment horizontal="center" vertical="center"/>
    </xf>
    <xf numFmtId="0" fontId="6" fillId="0" borderId="19" xfId="0" applyFont="1" applyBorder="1" applyAlignment="1">
      <alignment vertical="top" wrapText="1"/>
    </xf>
    <xf numFmtId="0" fontId="6" fillId="0" borderId="0" xfId="0" applyFont="1" applyBorder="1" applyAlignment="1">
      <alignment vertical="top" wrapText="1"/>
    </xf>
    <xf numFmtId="0" fontId="6" fillId="0" borderId="20" xfId="0" applyFont="1" applyBorder="1" applyAlignment="1">
      <alignment vertical="top" wrapText="1"/>
    </xf>
    <xf numFmtId="0" fontId="6" fillId="0" borderId="21" xfId="0" applyFont="1" applyBorder="1" applyAlignment="1">
      <alignment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28" fillId="8" borderId="28" xfId="0" applyFont="1" applyFill="1" applyBorder="1" applyAlignment="1">
      <alignment vertical="top" wrapText="1"/>
    </xf>
    <xf numFmtId="0" fontId="28" fillId="8" borderId="29" xfId="0" applyFont="1" applyFill="1" applyBorder="1" applyAlignment="1">
      <alignment vertical="top" wrapText="1"/>
    </xf>
    <xf numFmtId="166" fontId="19" fillId="0" borderId="0" xfId="0" applyNumberFormat="1" applyFont="1" applyAlignment="1" applyProtection="1">
      <alignment horizontal="right" vertical="top"/>
      <protection locked="0"/>
    </xf>
    <xf numFmtId="0" fontId="43" fillId="14" borderId="2" xfId="0" applyFont="1" applyFill="1" applyBorder="1" applyAlignment="1">
      <alignment horizontal="center" vertical="center"/>
    </xf>
    <xf numFmtId="0" fontId="44" fillId="14" borderId="3" xfId="0" applyFont="1" applyFill="1" applyBorder="1" applyAlignment="1">
      <alignment horizontal="center" vertical="center"/>
    </xf>
    <xf numFmtId="0" fontId="44" fillId="14" borderId="6" xfId="0" applyFont="1" applyFill="1" applyBorder="1" applyAlignment="1">
      <alignment horizontal="center" vertical="center"/>
    </xf>
    <xf numFmtId="0" fontId="47" fillId="4" borderId="24" xfId="0" applyFont="1" applyFill="1" applyBorder="1" applyAlignment="1">
      <alignment horizontal="center" vertical="center"/>
    </xf>
    <xf numFmtId="0" fontId="47" fillId="4" borderId="25" xfId="0" applyFont="1" applyFill="1" applyBorder="1" applyAlignment="1">
      <alignment horizontal="center" vertical="center"/>
    </xf>
    <xf numFmtId="0" fontId="47" fillId="4" borderId="26" xfId="0" applyFont="1" applyFill="1" applyBorder="1" applyAlignment="1">
      <alignment horizontal="center" vertical="center"/>
    </xf>
  </cellXfs>
  <cellStyles count="19">
    <cellStyle name="Hyperlink 2" xfId="11" xr:uid="{00000000-0005-0000-0000-000000000000}"/>
    <cellStyle name="Hyperlink 3" xfId="15" xr:uid="{00000000-0005-0000-0000-000001000000}"/>
    <cellStyle name="Komma" xfId="3" builtinId="3"/>
    <cellStyle name="Komma 2" xfId="13" xr:uid="{00000000-0005-0000-0000-000003000000}"/>
    <cellStyle name="Link" xfId="5" builtinId="8"/>
    <cellStyle name="Prozent" xfId="4" builtinId="5"/>
    <cellStyle name="Prozent 2" xfId="14" xr:uid="{00000000-0005-0000-0000-000006000000}"/>
    <cellStyle name="Standard" xfId="0" builtinId="0"/>
    <cellStyle name="Standard 2" xfId="8" xr:uid="{00000000-0005-0000-0000-000008000000}"/>
    <cellStyle name="Standard 3" xfId="9" xr:uid="{00000000-0005-0000-0000-000009000000}"/>
    <cellStyle name="Standard 3 2" xfId="17" xr:uid="{00000000-0005-0000-0000-00000A000000}"/>
    <cellStyle name="Standard 3 3" xfId="16" xr:uid="{00000000-0005-0000-0000-00000B000000}"/>
    <cellStyle name="Standard 4" xfId="10" xr:uid="{00000000-0005-0000-0000-00000C000000}"/>
    <cellStyle name="Standard 4 2" xfId="18" xr:uid="{00000000-0005-0000-0000-00000D000000}"/>
    <cellStyle name="Standard 5" xfId="7" xr:uid="{00000000-0005-0000-0000-00000E000000}"/>
    <cellStyle name="Standard 6" xfId="6" xr:uid="{00000000-0005-0000-0000-00000F000000}"/>
    <cellStyle name="ZeQ" xfId="1" xr:uid="{00000000-0005-0000-0000-000010000000}"/>
    <cellStyle name="ZeQ 2" xfId="2" xr:uid="{00000000-0005-0000-0000-000011000000}"/>
    <cellStyle name="ZeQ 2 2" xfId="12" xr:uid="{00000000-0005-0000-0000-00001200000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border>
        <left/>
        <right/>
        <top/>
        <bottom/>
        <vertical/>
        <horizontal/>
      </border>
    </dxf>
    <dxf>
      <font>
        <color theme="0"/>
      </font>
      <fill>
        <patternFill>
          <bgColor rgb="FFFF0000"/>
        </patternFill>
      </fill>
      <border>
        <left/>
        <right/>
        <top/>
        <bottom/>
        <vertical/>
        <horizontal/>
      </border>
    </dxf>
    <dxf>
      <fill>
        <patternFill>
          <bgColor rgb="FFFF0000"/>
        </patternFill>
      </fill>
      <border>
        <left/>
        <right/>
        <top/>
        <bottom/>
        <vertical/>
        <horizontal/>
      </border>
    </dxf>
    <dxf>
      <fill>
        <patternFill>
          <bgColor rgb="FFFFFF00"/>
        </patternFill>
      </fill>
    </dxf>
    <dxf>
      <fill>
        <patternFill>
          <bgColor rgb="FFFFFF00"/>
        </patternFill>
      </fill>
    </dxf>
    <dxf>
      <fill>
        <patternFill>
          <bgColor theme="6"/>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dxf>
    <dxf>
      <fill>
        <patternFill>
          <bgColor theme="6"/>
        </patternFill>
      </fill>
    </dxf>
    <dxf>
      <fill>
        <patternFill>
          <bgColor rgb="FFFFFF00"/>
        </patternFill>
      </fill>
    </dxf>
    <dxf>
      <fill>
        <patternFill>
          <bgColor rgb="FFFF0000"/>
        </patternFill>
      </fill>
      <border>
        <left/>
        <right/>
        <top/>
        <bottom/>
        <vertical/>
        <horizontal/>
      </border>
    </dxf>
    <dxf>
      <font>
        <color theme="0"/>
      </font>
    </dxf>
    <dxf>
      <font>
        <color theme="1"/>
      </font>
      <fill>
        <patternFill>
          <bgColor rgb="FFFFFF00"/>
        </patternFill>
      </fill>
    </dxf>
    <dxf>
      <font>
        <color theme="0"/>
      </font>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C0006"/>
      </font>
      <fill>
        <patternFill>
          <bgColor rgb="FFFFC7CE"/>
        </patternFill>
      </fill>
    </dxf>
    <dxf>
      <fill>
        <patternFill>
          <bgColor rgb="FFFF0000"/>
        </patternFill>
      </fill>
      <border>
        <left/>
        <right/>
        <top/>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91A36"/>
      <rgbColor rgb="00008000"/>
      <rgbColor rgb="00000080"/>
      <rgbColor rgb="00808000"/>
      <rgbColor rgb="00800080"/>
      <rgbColor rgb="00008080"/>
      <rgbColor rgb="00C0C0C0"/>
      <rgbColor rgb="00808080"/>
      <rgbColor rgb="00991A36"/>
      <rgbColor rgb="00F5C7D1"/>
      <rgbColor rgb="00FFFF99"/>
      <rgbColor rgb="00288028"/>
      <rgbColor rgb="00CCFFFF"/>
      <rgbColor rgb="00000099"/>
      <rgbColor rgb="009F9FFF"/>
      <rgbColor rgb="00C0C0C0"/>
      <rgbColor rgb="004E0E1C"/>
      <rgbColor rgb="00DA2E53"/>
      <rgbColor rgb="00FFFF47"/>
      <rgbColor rgb="00174917"/>
      <rgbColor rgb="00008D8A"/>
      <rgbColor rgb="0000006C"/>
      <rgbColor rgb="004343FF"/>
      <rgbColor rgb="0075757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FB055"/>
      <color rgb="FF477335"/>
      <color rgb="FFC0DD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a:t>Neuinfektionen pro Tag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barChart>
        <c:barDir val="col"/>
        <c:grouping val="clustered"/>
        <c:varyColors val="0"/>
        <c:ser>
          <c:idx val="0"/>
          <c:order val="0"/>
          <c:tx>
            <c:v>Pro Tag</c:v>
          </c:tx>
          <c:spPr>
            <a:solidFill>
              <a:srgbClr val="C00000"/>
            </a:solidFill>
            <a:ln>
              <a:noFill/>
            </a:ln>
            <a:effectLst/>
          </c:spPr>
          <c:invertIfNegative val="0"/>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Prognoseergebnis!$E$66:$E$135</c:f>
              <c:numCache>
                <c:formatCode>\+#,##0;\-#,##0;0</c:formatCode>
                <c:ptCount val="70"/>
                <c:pt idx="0">
                  <c:v>748.52277823399754</c:v>
                </c:pt>
                <c:pt idx="1">
                  <c:v>633.81488982734743</c:v>
                </c:pt>
                <c:pt idx="2">
                  <c:v>388.69631917027743</c:v>
                </c:pt>
                <c:pt idx="3">
                  <c:v>262.2505613943984</c:v>
                </c:pt>
                <c:pt idx="4">
                  <c:v>558.61572341577357</c:v>
                </c:pt>
                <c:pt idx="5">
                  <c:v>549.40359957744874</c:v>
                </c:pt>
                <c:pt idx="6">
                  <c:v>543.50337259329194</c:v>
                </c:pt>
                <c:pt idx="7">
                  <c:v>450.32165609705726</c:v>
                </c:pt>
                <c:pt idx="8">
                  <c:v>468.9184070578404</c:v>
                </c:pt>
                <c:pt idx="9">
                  <c:v>282.0952153905173</c:v>
                </c:pt>
                <c:pt idx="10">
                  <c:v>197.31707084814343</c:v>
                </c:pt>
                <c:pt idx="11">
                  <c:v>381.80516350150612</c:v>
                </c:pt>
                <c:pt idx="12">
                  <c:v>331.894846020709</c:v>
                </c:pt>
                <c:pt idx="13">
                  <c:v>389.19294970039965</c:v>
                </c:pt>
                <c:pt idx="14">
                  <c:v>290.49173628590046</c:v>
                </c:pt>
                <c:pt idx="15">
                  <c:v>310.09724618487513</c:v>
                </c:pt>
                <c:pt idx="16">
                  <c:v>191.49895554576258</c:v>
                </c:pt>
                <c:pt idx="17">
                  <c:v>135.544488854863</c:v>
                </c:pt>
                <c:pt idx="18">
                  <c:v>273.69008562686093</c:v>
                </c:pt>
                <c:pt idx="19">
                  <c:v>240.50621713523137</c:v>
                </c:pt>
                <c:pt idx="20">
                  <c:v>264.15611572021083</c:v>
                </c:pt>
                <c:pt idx="21">
                  <c:v>192.68737404005674</c:v>
                </c:pt>
                <c:pt idx="22">
                  <c:v>204.08746386720151</c:v>
                </c:pt>
                <c:pt idx="23">
                  <c:v>131.99125049739325</c:v>
                </c:pt>
                <c:pt idx="24">
                  <c:v>93.915319339135721</c:v>
                </c:pt>
                <c:pt idx="25">
                  <c:v>194.25460447352719</c:v>
                </c:pt>
                <c:pt idx="26">
                  <c:v>169.7584138826102</c:v>
                </c:pt>
                <c:pt idx="27">
                  <c:v>180.99867583143137</c:v>
                </c:pt>
                <c:pt idx="28">
                  <c:v>133.53080219854598</c:v>
                </c:pt>
                <c:pt idx="29">
                  <c:v>141.01887781610958</c:v>
                </c:pt>
                <c:pt idx="30">
                  <c:v>91.31966545134101</c:v>
                </c:pt>
                <c:pt idx="31">
                  <c:v>64.971502340352203</c:v>
                </c:pt>
                <c:pt idx="32">
                  <c:v>135.17891192877832</c:v>
                </c:pt>
                <c:pt idx="33">
                  <c:v>119.11428080319178</c:v>
                </c:pt>
                <c:pt idx="34">
                  <c:v>127.6320201979957</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numCache>
            </c:numRef>
          </c:val>
          <c:extLst>
            <c:ext xmlns:c16="http://schemas.microsoft.com/office/drawing/2014/chart" uri="{C3380CC4-5D6E-409C-BE32-E72D297353CC}">
              <c16:uniqueId val="{00000002-BCA2-44FF-8637-9FF295A86090}"/>
            </c:ext>
          </c:extLst>
        </c:ser>
        <c:dLbls>
          <c:showLegendKey val="0"/>
          <c:showVal val="0"/>
          <c:showCatName val="0"/>
          <c:showSerName val="0"/>
          <c:showPercent val="0"/>
          <c:showBubbleSize val="0"/>
        </c:dLbls>
        <c:gapWidth val="219"/>
        <c:overlap val="-27"/>
        <c:axId val="349229824"/>
        <c:axId val="349231744"/>
      </c:barChart>
      <c:dateAx>
        <c:axId val="3492298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Zeitverlauf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49231744"/>
        <c:crosses val="autoZero"/>
        <c:auto val="1"/>
        <c:lblOffset val="100"/>
        <c:baseTimeUnit val="days"/>
      </c:dateAx>
      <c:valAx>
        <c:axId val="349231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Fälle pro Tag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492298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Bedarf an Betten</a:t>
            </a:r>
            <a:r>
              <a:rPr lang="de-DE" baseline="0"/>
              <a:t> und Beatmungsplätzen, </a:t>
            </a:r>
            <a:r>
              <a:rPr lang="de-DE"/>
              <a:t>pro Tag</a:t>
            </a:r>
          </a:p>
        </c:rich>
      </c:tx>
      <c:overlay val="0"/>
      <c:spPr>
        <a:noFill/>
        <a:ln>
          <a:noFill/>
        </a:ln>
        <a:effectLst/>
      </c:spPr>
    </c:title>
    <c:autoTitleDeleted val="0"/>
    <c:plotArea>
      <c:layout/>
      <c:lineChart>
        <c:grouping val="standard"/>
        <c:varyColors val="0"/>
        <c:ser>
          <c:idx val="0"/>
          <c:order val="0"/>
          <c:tx>
            <c:v>Normalstation</c:v>
          </c:tx>
          <c:spPr>
            <a:ln w="28575" cap="rnd">
              <a:solidFill>
                <a:srgbClr val="FF0000"/>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Prognoseergebnis!$H$66:$H$170</c:f>
              <c:numCache>
                <c:formatCode>#,##0</c:formatCode>
                <c:ptCount val="105"/>
                <c:pt idx="0">
                  <c:v>645</c:v>
                </c:pt>
                <c:pt idx="1">
                  <c:v>590</c:v>
                </c:pt>
                <c:pt idx="2">
                  <c:v>559</c:v>
                </c:pt>
                <c:pt idx="3">
                  <c:v>528</c:v>
                </c:pt>
                <c:pt idx="4">
                  <c:v>526</c:v>
                </c:pt>
                <c:pt idx="5">
                  <c:v>460</c:v>
                </c:pt>
                <c:pt idx="6">
                  <c:v>461</c:v>
                </c:pt>
                <c:pt idx="7">
                  <c:v>420</c:v>
                </c:pt>
                <c:pt idx="8">
                  <c:v>402</c:v>
                </c:pt>
                <c:pt idx="9">
                  <c:v>390</c:v>
                </c:pt>
                <c:pt idx="10">
                  <c:v>381</c:v>
                </c:pt>
                <c:pt idx="11">
                  <c:v>357</c:v>
                </c:pt>
                <c:pt idx="12">
                  <c:v>330</c:v>
                </c:pt>
                <c:pt idx="13">
                  <c:v>315</c:v>
                </c:pt>
                <c:pt idx="14">
                  <c:v>293</c:v>
                </c:pt>
                <c:pt idx="15">
                  <c:v>273</c:v>
                </c:pt>
                <c:pt idx="16">
                  <c:v>262</c:v>
                </c:pt>
                <c:pt idx="17">
                  <c:v>253</c:v>
                </c:pt>
                <c:pt idx="18">
                  <c:v>237</c:v>
                </c:pt>
                <c:pt idx="19">
                  <c:v>228</c:v>
                </c:pt>
                <c:pt idx="20">
                  <c:v>213</c:v>
                </c:pt>
                <c:pt idx="21">
                  <c:v>201</c:v>
                </c:pt>
                <c:pt idx="22">
                  <c:v>187</c:v>
                </c:pt>
                <c:pt idx="23">
                  <c:v>181</c:v>
                </c:pt>
                <c:pt idx="24">
                  <c:v>175</c:v>
                </c:pt>
                <c:pt idx="25">
                  <c:v>164</c:v>
                </c:pt>
                <c:pt idx="26">
                  <c:v>157</c:v>
                </c:pt>
                <c:pt idx="27">
                  <c:v>146</c:v>
                </c:pt>
                <c:pt idx="28">
                  <c:v>139</c:v>
                </c:pt>
                <c:pt idx="29">
                  <c:v>131</c:v>
                </c:pt>
                <c:pt idx="30">
                  <c:v>126</c:v>
                </c:pt>
                <c:pt idx="31">
                  <c:v>122</c:v>
                </c:pt>
                <c:pt idx="32">
                  <c:v>114</c:v>
                </c:pt>
                <c:pt idx="33">
                  <c:v>109</c:v>
                </c:pt>
                <c:pt idx="34">
                  <c:v>102</c:v>
                </c:pt>
                <c:pt idx="35">
                  <c:v>84</c:v>
                </c:pt>
                <c:pt idx="36">
                  <c:v>64</c:v>
                </c:pt>
                <c:pt idx="37">
                  <c:v>52</c:v>
                </c:pt>
                <c:pt idx="38">
                  <c:v>43</c:v>
                </c:pt>
                <c:pt idx="39">
                  <c:v>24</c:v>
                </c:pt>
                <c:pt idx="40">
                  <c:v>9</c:v>
                </c:pt>
                <c:pt idx="41">
                  <c:v>-8</c:v>
                </c:pt>
                <c:pt idx="42">
                  <c:v>-8</c:v>
                </c:pt>
                <c:pt idx="43">
                  <c:v>-8</c:v>
                </c:pt>
                <c:pt idx="44">
                  <c:v>-6</c:v>
                </c:pt>
                <c:pt idx="45">
                  <c:v>-5</c:v>
                </c:pt>
                <c:pt idx="46">
                  <c:v>-4</c:v>
                </c:pt>
                <c:pt idx="47">
                  <c:v>-3</c:v>
                </c:pt>
                <c:pt idx="48">
                  <c:v>-1</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0-76FA-44F1-9C97-F076EAE3BB83}"/>
            </c:ext>
          </c:extLst>
        </c:ser>
        <c:ser>
          <c:idx val="1"/>
          <c:order val="1"/>
          <c:tx>
            <c:v>Intensivstation/IMC</c:v>
          </c:tx>
          <c:spPr>
            <a:ln w="28575" cap="rnd">
              <a:solidFill>
                <a:srgbClr val="C00000"/>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Prognoseergebnis!$I$66:$I$170</c:f>
              <c:numCache>
                <c:formatCode>#,##0</c:formatCode>
                <c:ptCount val="105"/>
                <c:pt idx="0">
                  <c:v>153</c:v>
                </c:pt>
                <c:pt idx="1">
                  <c:v>152</c:v>
                </c:pt>
                <c:pt idx="2">
                  <c:v>144</c:v>
                </c:pt>
                <c:pt idx="3">
                  <c:v>138</c:v>
                </c:pt>
                <c:pt idx="4">
                  <c:v>137</c:v>
                </c:pt>
                <c:pt idx="5">
                  <c:v>124</c:v>
                </c:pt>
                <c:pt idx="6">
                  <c:v>115</c:v>
                </c:pt>
                <c:pt idx="7">
                  <c:v>107</c:v>
                </c:pt>
                <c:pt idx="8">
                  <c:v>100</c:v>
                </c:pt>
                <c:pt idx="9">
                  <c:v>93</c:v>
                </c:pt>
                <c:pt idx="10">
                  <c:v>88</c:v>
                </c:pt>
                <c:pt idx="11">
                  <c:v>87</c:v>
                </c:pt>
                <c:pt idx="12">
                  <c:v>84</c:v>
                </c:pt>
                <c:pt idx="13">
                  <c:v>76</c:v>
                </c:pt>
                <c:pt idx="14">
                  <c:v>73</c:v>
                </c:pt>
                <c:pt idx="15">
                  <c:v>68</c:v>
                </c:pt>
                <c:pt idx="16">
                  <c:v>63</c:v>
                </c:pt>
                <c:pt idx="17">
                  <c:v>60</c:v>
                </c:pt>
                <c:pt idx="18">
                  <c:v>60</c:v>
                </c:pt>
                <c:pt idx="19">
                  <c:v>56</c:v>
                </c:pt>
                <c:pt idx="20">
                  <c:v>53</c:v>
                </c:pt>
                <c:pt idx="21">
                  <c:v>49</c:v>
                </c:pt>
                <c:pt idx="22">
                  <c:v>47</c:v>
                </c:pt>
                <c:pt idx="23">
                  <c:v>43</c:v>
                </c:pt>
                <c:pt idx="24">
                  <c:v>41</c:v>
                </c:pt>
                <c:pt idx="25">
                  <c:v>41</c:v>
                </c:pt>
                <c:pt idx="26">
                  <c:v>38</c:v>
                </c:pt>
                <c:pt idx="27">
                  <c:v>37</c:v>
                </c:pt>
                <c:pt idx="28">
                  <c:v>34</c:v>
                </c:pt>
                <c:pt idx="29">
                  <c:v>32</c:v>
                </c:pt>
                <c:pt idx="30">
                  <c:v>30</c:v>
                </c:pt>
                <c:pt idx="31">
                  <c:v>28</c:v>
                </c:pt>
                <c:pt idx="32">
                  <c:v>28</c:v>
                </c:pt>
                <c:pt idx="33">
                  <c:v>26</c:v>
                </c:pt>
                <c:pt idx="34">
                  <c:v>25</c:v>
                </c:pt>
                <c:pt idx="35">
                  <c:v>22</c:v>
                </c:pt>
                <c:pt idx="36">
                  <c:v>20</c:v>
                </c:pt>
                <c:pt idx="37">
                  <c:v>18</c:v>
                </c:pt>
                <c:pt idx="38">
                  <c:v>16</c:v>
                </c:pt>
                <c:pt idx="39">
                  <c:v>15</c:v>
                </c:pt>
                <c:pt idx="40">
                  <c:v>13</c:v>
                </c:pt>
                <c:pt idx="41">
                  <c:v>11</c:v>
                </c:pt>
                <c:pt idx="42">
                  <c:v>9</c:v>
                </c:pt>
                <c:pt idx="43">
                  <c:v>8</c:v>
                </c:pt>
                <c:pt idx="44">
                  <c:v>6</c:v>
                </c:pt>
                <c:pt idx="45">
                  <c:v>5</c:v>
                </c:pt>
                <c:pt idx="46">
                  <c:v>4</c:v>
                </c:pt>
                <c:pt idx="47">
                  <c:v>3</c:v>
                </c:pt>
                <c:pt idx="48">
                  <c:v>1</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1-76FA-44F1-9C97-F076EAE3BB83}"/>
            </c:ext>
          </c:extLst>
        </c:ser>
        <c:ser>
          <c:idx val="5"/>
          <c:order val="2"/>
          <c:tx>
            <c:strRef>
              <c:f>Prognoseergebnis!$J$8</c:f>
              <c:strCache>
                <c:ptCount val="1"/>
                <c:pt idx="0">
                  <c:v>Bedarf Beatmungsplätze</c:v>
                </c:pt>
              </c:strCache>
            </c:strRef>
          </c:tx>
          <c:spPr>
            <a:ln w="28575" cap="rnd">
              <a:solidFill>
                <a:schemeClr val="accent2">
                  <a:lumMod val="50000"/>
                </a:schemeClr>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Prognoseergebnis!$J$66:$J$170</c:f>
              <c:numCache>
                <c:formatCode>#,##0</c:formatCode>
                <c:ptCount val="105"/>
                <c:pt idx="0">
                  <c:v>74.97</c:v>
                </c:pt>
                <c:pt idx="1">
                  <c:v>74.48</c:v>
                </c:pt>
                <c:pt idx="2">
                  <c:v>70.56</c:v>
                </c:pt>
                <c:pt idx="3">
                  <c:v>67.62</c:v>
                </c:pt>
                <c:pt idx="4">
                  <c:v>67.13</c:v>
                </c:pt>
                <c:pt idx="5">
                  <c:v>60.760000000000005</c:v>
                </c:pt>
                <c:pt idx="6">
                  <c:v>56.35</c:v>
                </c:pt>
                <c:pt idx="7">
                  <c:v>52.43</c:v>
                </c:pt>
                <c:pt idx="8">
                  <c:v>49</c:v>
                </c:pt>
                <c:pt idx="9">
                  <c:v>45.57</c:v>
                </c:pt>
                <c:pt idx="10">
                  <c:v>43.12</c:v>
                </c:pt>
                <c:pt idx="11">
                  <c:v>42.629999999999995</c:v>
                </c:pt>
                <c:pt idx="12">
                  <c:v>41.160000000000004</c:v>
                </c:pt>
                <c:pt idx="13">
                  <c:v>37.24</c:v>
                </c:pt>
                <c:pt idx="14">
                  <c:v>35.769999999999996</c:v>
                </c:pt>
                <c:pt idx="15">
                  <c:v>33.32</c:v>
                </c:pt>
                <c:pt idx="16">
                  <c:v>30.87</c:v>
                </c:pt>
                <c:pt idx="17">
                  <c:v>29.4</c:v>
                </c:pt>
                <c:pt idx="18">
                  <c:v>29.4</c:v>
                </c:pt>
                <c:pt idx="19">
                  <c:v>27.44</c:v>
                </c:pt>
                <c:pt idx="20">
                  <c:v>25.97</c:v>
                </c:pt>
                <c:pt idx="21">
                  <c:v>24.01</c:v>
                </c:pt>
                <c:pt idx="22">
                  <c:v>23.03</c:v>
                </c:pt>
                <c:pt idx="23">
                  <c:v>21.07</c:v>
                </c:pt>
                <c:pt idx="24">
                  <c:v>20.09</c:v>
                </c:pt>
                <c:pt idx="25">
                  <c:v>20.09</c:v>
                </c:pt>
                <c:pt idx="26">
                  <c:v>18.62</c:v>
                </c:pt>
                <c:pt idx="27">
                  <c:v>18.13</c:v>
                </c:pt>
                <c:pt idx="28">
                  <c:v>16.66</c:v>
                </c:pt>
                <c:pt idx="29">
                  <c:v>15.68</c:v>
                </c:pt>
                <c:pt idx="30">
                  <c:v>14.7</c:v>
                </c:pt>
                <c:pt idx="31">
                  <c:v>13.72</c:v>
                </c:pt>
                <c:pt idx="32">
                  <c:v>13.72</c:v>
                </c:pt>
                <c:pt idx="33">
                  <c:v>12.739999999999998</c:v>
                </c:pt>
                <c:pt idx="34">
                  <c:v>12.25</c:v>
                </c:pt>
                <c:pt idx="35">
                  <c:v>10.78</c:v>
                </c:pt>
                <c:pt idx="36">
                  <c:v>9.7999999999999989</c:v>
                </c:pt>
                <c:pt idx="37">
                  <c:v>8.82</c:v>
                </c:pt>
                <c:pt idx="38">
                  <c:v>7.84</c:v>
                </c:pt>
                <c:pt idx="39">
                  <c:v>7.35</c:v>
                </c:pt>
                <c:pt idx="40">
                  <c:v>6.3699999999999992</c:v>
                </c:pt>
                <c:pt idx="41">
                  <c:v>5.39</c:v>
                </c:pt>
                <c:pt idx="42">
                  <c:v>4.41</c:v>
                </c:pt>
                <c:pt idx="43">
                  <c:v>3.92</c:v>
                </c:pt>
                <c:pt idx="44">
                  <c:v>2.94</c:v>
                </c:pt>
                <c:pt idx="45">
                  <c:v>2.4499999999999997</c:v>
                </c:pt>
                <c:pt idx="46">
                  <c:v>1.96</c:v>
                </c:pt>
                <c:pt idx="47">
                  <c:v>1.47</c:v>
                </c:pt>
                <c:pt idx="48">
                  <c:v>0.49</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7-76FA-44F1-9C97-F076EAE3BB83}"/>
            </c:ext>
          </c:extLst>
        </c:ser>
        <c:dLbls>
          <c:showLegendKey val="0"/>
          <c:showVal val="0"/>
          <c:showCatName val="0"/>
          <c:showSerName val="0"/>
          <c:showPercent val="0"/>
          <c:showBubbleSize val="0"/>
        </c:dLbls>
        <c:marker val="1"/>
        <c:smooth val="0"/>
        <c:axId val="350365952"/>
        <c:axId val="350384128"/>
      </c:lineChart>
      <c:scatterChart>
        <c:scatterStyle val="lineMarker"/>
        <c:varyColors val="0"/>
        <c:ser>
          <c:idx val="2"/>
          <c:order val="3"/>
          <c:tx>
            <c:strRef>
              <c:f>'Grafische Darstellung'!$AR$2</c:f>
              <c:strCache>
                <c:ptCount val="1"/>
                <c:pt idx="0">
                  <c:v>Höchster Peak (Normalstation)</c:v>
                </c:pt>
              </c:strCache>
            </c:strRef>
          </c:tx>
          <c:spPr>
            <a:ln w="25400" cap="rnd">
              <a:noFill/>
              <a:round/>
            </a:ln>
            <a:effectLst/>
          </c:spPr>
          <c:marker>
            <c:symbol val="diamond"/>
            <c:size val="10"/>
            <c:spPr>
              <a:solidFill>
                <a:srgbClr val="FF0000"/>
              </a:solidFill>
              <a:ln w="9525">
                <a:noFill/>
              </a:ln>
              <a:effectLst/>
            </c:spPr>
          </c:marker>
          <c:dLbls>
            <c:dLbl>
              <c:idx val="0"/>
              <c:tx>
                <c:rich>
                  <a:bodyPr/>
                  <a:lstStyle/>
                  <a:p>
                    <a:fld id="{A9EA6BA8-19B2-4F6F-B4C2-6D1FC2A6AB23}"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6FA-44F1-9C97-F076EAE3B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Darstellung'!$AS$3</c:f>
              <c:numCache>
                <c:formatCode>m/d/yyyy</c:formatCode>
                <c:ptCount val="1"/>
                <c:pt idx="0">
                  <c:v>44343</c:v>
                </c:pt>
              </c:numCache>
            </c:numRef>
          </c:xVal>
          <c:yVal>
            <c:numRef>
              <c:f>'Grafische Darstellung'!$AS$2</c:f>
              <c:numCache>
                <c:formatCode>#,##0</c:formatCode>
                <c:ptCount val="1"/>
                <c:pt idx="0">
                  <c:v>645</c:v>
                </c:pt>
              </c:numCache>
            </c:numRef>
          </c:yVal>
          <c:smooth val="0"/>
          <c:extLst>
            <c:ext xmlns:c15="http://schemas.microsoft.com/office/drawing/2012/chart" uri="{02D57815-91ED-43cb-92C2-25804820EDAC}">
              <c15:datalabelsRange>
                <c15:f>'Grafische Darstellung'!$AU$2</c15:f>
                <c15:dlblRangeCache>
                  <c:ptCount val="1"/>
                  <c:pt idx="0">
                    <c:v>Peak: 645 am 27.05</c:v>
                  </c:pt>
                </c15:dlblRangeCache>
              </c15:datalabelsRange>
            </c:ext>
            <c:ext xmlns:c16="http://schemas.microsoft.com/office/drawing/2014/chart" uri="{C3380CC4-5D6E-409C-BE32-E72D297353CC}">
              <c16:uniqueId val="{00000002-76FA-44F1-9C97-F076EAE3BB83}"/>
            </c:ext>
          </c:extLst>
        </c:ser>
        <c:ser>
          <c:idx val="3"/>
          <c:order val="4"/>
          <c:tx>
            <c:strRef>
              <c:f>'Grafische Darstellung'!$AR$6</c:f>
              <c:strCache>
                <c:ptCount val="1"/>
                <c:pt idx="0">
                  <c:v>Höchster Peak (Intensivstation)</c:v>
                </c:pt>
              </c:strCache>
            </c:strRef>
          </c:tx>
          <c:spPr>
            <a:ln w="25400" cap="rnd">
              <a:noFill/>
              <a:round/>
            </a:ln>
            <a:effectLst/>
          </c:spPr>
          <c:marker>
            <c:symbol val="diamond"/>
            <c:size val="10"/>
            <c:spPr>
              <a:solidFill>
                <a:schemeClr val="accent4"/>
              </a:solidFill>
              <a:ln w="9525">
                <a:solidFill>
                  <a:schemeClr val="accent4"/>
                </a:solidFill>
              </a:ln>
              <a:effectLst/>
            </c:spPr>
          </c:marker>
          <c:dLbls>
            <c:dLbl>
              <c:idx val="0"/>
              <c:tx>
                <c:rich>
                  <a:bodyPr/>
                  <a:lstStyle/>
                  <a:p>
                    <a:fld id="{2DE72283-97EC-4CDD-8CDE-D5F1A6E0F8F4}"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6FA-44F1-9C97-F076EAE3B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Darstellung'!$AS$7</c:f>
              <c:numCache>
                <c:formatCode>m/d/yyyy</c:formatCode>
                <c:ptCount val="1"/>
                <c:pt idx="0">
                  <c:v>44343</c:v>
                </c:pt>
              </c:numCache>
            </c:numRef>
          </c:xVal>
          <c:yVal>
            <c:numRef>
              <c:f>'Grafische Darstellung'!$AS$6</c:f>
              <c:numCache>
                <c:formatCode>General</c:formatCode>
                <c:ptCount val="1"/>
                <c:pt idx="0">
                  <c:v>153</c:v>
                </c:pt>
              </c:numCache>
            </c:numRef>
          </c:yVal>
          <c:smooth val="0"/>
          <c:extLst>
            <c:ext xmlns:c15="http://schemas.microsoft.com/office/drawing/2012/chart" uri="{02D57815-91ED-43cb-92C2-25804820EDAC}">
              <c15:datalabelsRange>
                <c15:f>'Grafische Darstellung'!$AU$6</c15:f>
                <c15:dlblRangeCache>
                  <c:ptCount val="1"/>
                  <c:pt idx="0">
                    <c:v>Peak: 153 am 27.05</c:v>
                  </c:pt>
                </c15:dlblRangeCache>
              </c15:datalabelsRange>
            </c:ext>
            <c:ext xmlns:c16="http://schemas.microsoft.com/office/drawing/2014/chart" uri="{C3380CC4-5D6E-409C-BE32-E72D297353CC}">
              <c16:uniqueId val="{00000003-76FA-44F1-9C97-F076EAE3BB83}"/>
            </c:ext>
          </c:extLst>
        </c:ser>
        <c:ser>
          <c:idx val="4"/>
          <c:order val="5"/>
          <c:tx>
            <c:v>Höchster Peak (ECMO)</c:v>
          </c:tx>
          <c:spPr>
            <a:ln w="25400" cap="rnd">
              <a:noFill/>
              <a:round/>
            </a:ln>
            <a:effectLst/>
          </c:spPr>
          <c:marker>
            <c:symbol val="circle"/>
            <c:size val="5"/>
            <c:spPr>
              <a:solidFill>
                <a:schemeClr val="accent5"/>
              </a:solidFill>
              <a:ln w="9525">
                <a:solidFill>
                  <a:schemeClr val="accent5"/>
                </a:solidFill>
              </a:ln>
              <a:effectLst/>
            </c:spPr>
          </c:marker>
          <c:dPt>
            <c:idx val="0"/>
            <c:marker>
              <c:symbol val="diamond"/>
              <c:size val="10"/>
            </c:marker>
            <c:bubble3D val="0"/>
            <c:extLst>
              <c:ext xmlns:c16="http://schemas.microsoft.com/office/drawing/2014/chart" uri="{C3380CC4-5D6E-409C-BE32-E72D297353CC}">
                <c16:uniqueId val="{00000008-76FA-44F1-9C97-F076EAE3BB83}"/>
              </c:ext>
            </c:extLst>
          </c:dPt>
          <c:dLbls>
            <c:dLbl>
              <c:idx val="0"/>
              <c:tx>
                <c:rich>
                  <a:bodyPr/>
                  <a:lstStyle/>
                  <a:p>
                    <a:fld id="{B282099B-DBF2-4969-9D3B-123F9E435B67}"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6FA-44F1-9C97-F076EAE3BB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'Grafische Darstellung'!$AS$13</c:f>
              <c:numCache>
                <c:formatCode>m/d/yyyy</c:formatCode>
                <c:ptCount val="1"/>
                <c:pt idx="0">
                  <c:v>44343</c:v>
                </c:pt>
              </c:numCache>
            </c:numRef>
          </c:xVal>
          <c:yVal>
            <c:numRef>
              <c:f>'Grafische Darstellung'!$AS$12</c:f>
              <c:numCache>
                <c:formatCode>General</c:formatCode>
                <c:ptCount val="1"/>
                <c:pt idx="0">
                  <c:v>74.97</c:v>
                </c:pt>
              </c:numCache>
            </c:numRef>
          </c:yVal>
          <c:smooth val="0"/>
          <c:extLst>
            <c:ext xmlns:c15="http://schemas.microsoft.com/office/drawing/2012/chart" uri="{02D57815-91ED-43cb-92C2-25804820EDAC}">
              <c15:datalabelsRange>
                <c15:f>'Grafische Darstellung'!$AU$12</c15:f>
                <c15:dlblRangeCache>
                  <c:ptCount val="1"/>
                  <c:pt idx="0">
                    <c:v>Peak: 75 am 27.05</c:v>
                  </c:pt>
                </c15:dlblRangeCache>
              </c15:datalabelsRange>
            </c:ext>
            <c:ext xmlns:c16="http://schemas.microsoft.com/office/drawing/2014/chart" uri="{C3380CC4-5D6E-409C-BE32-E72D297353CC}">
              <c16:uniqueId val="{00000006-76FA-44F1-9C97-F076EAE3BB83}"/>
            </c:ext>
          </c:extLst>
        </c:ser>
        <c:dLbls>
          <c:showLegendKey val="0"/>
          <c:showVal val="0"/>
          <c:showCatName val="0"/>
          <c:showSerName val="0"/>
          <c:showPercent val="0"/>
          <c:showBubbleSize val="0"/>
        </c:dLbls>
        <c:axId val="350387200"/>
        <c:axId val="350385664"/>
      </c:scatterChart>
      <c:dateAx>
        <c:axId val="350365952"/>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0384128"/>
        <c:crosses val="autoZero"/>
        <c:auto val="1"/>
        <c:lblOffset val="100"/>
        <c:baseTimeUnit val="days"/>
      </c:dateAx>
      <c:valAx>
        <c:axId val="3503841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0365952"/>
        <c:crosses val="autoZero"/>
        <c:crossBetween val="between"/>
      </c:valAx>
      <c:valAx>
        <c:axId val="350385664"/>
        <c:scaling>
          <c:orientation val="minMax"/>
        </c:scaling>
        <c:delete val="1"/>
        <c:axPos val="r"/>
        <c:numFmt formatCode="#,##0" sourceLinked="1"/>
        <c:majorTickMark val="out"/>
        <c:minorTickMark val="none"/>
        <c:tickLblPos val="nextTo"/>
        <c:crossAx val="350387200"/>
        <c:crosses val="max"/>
        <c:crossBetween val="between"/>
      </c:valAx>
      <c:catAx>
        <c:axId val="350387200"/>
        <c:scaling>
          <c:orientation val="minMax"/>
        </c:scaling>
        <c:delete val="1"/>
        <c:axPos val="b"/>
        <c:numFmt formatCode="m/d/yyyy" sourceLinked="1"/>
        <c:majorTickMark val="out"/>
        <c:minorTickMark val="none"/>
        <c:tickLblPos val="nextTo"/>
        <c:crossAx val="350385664"/>
        <c:crosses val="autoZero"/>
        <c:auto val="1"/>
        <c:lblAlgn val="ctr"/>
        <c:lblOffset val="100"/>
        <c:noMultiLvlLbl val="0"/>
      </c:catAx>
      <c:spPr>
        <a:noFill/>
        <a:ln>
          <a:noFill/>
        </a:ln>
        <a:effectLst/>
      </c:spPr>
    </c:plotArea>
    <c:legend>
      <c:legendPos val="b"/>
      <c:legendEntry>
        <c:idx val="3"/>
        <c:delete val="1"/>
      </c:legendEntry>
      <c:legendEntry>
        <c:idx val="4"/>
        <c:delete val="1"/>
      </c:legendEntry>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Mitarbeiterbedarf pro 24h, Pflegedienst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lineChart>
        <c:grouping val="standard"/>
        <c:varyColors val="0"/>
        <c:ser>
          <c:idx val="0"/>
          <c:order val="0"/>
          <c:tx>
            <c:v>Normalstation</c:v>
          </c:tx>
          <c:spPr>
            <a:ln w="28575" cap="rnd">
              <a:solidFill>
                <a:srgbClr val="FF0000"/>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Prognoseergebnis!$O$66:$O$135</c:f>
              <c:numCache>
                <c:formatCode>#,##0</c:formatCode>
                <c:ptCount val="70"/>
                <c:pt idx="0">
                  <c:v>279.5</c:v>
                </c:pt>
                <c:pt idx="1">
                  <c:v>255.66666666666666</c:v>
                </c:pt>
                <c:pt idx="2">
                  <c:v>242.23333333333335</c:v>
                </c:pt>
                <c:pt idx="3">
                  <c:v>228.8</c:v>
                </c:pt>
                <c:pt idx="4">
                  <c:v>227.93333333333334</c:v>
                </c:pt>
                <c:pt idx="5">
                  <c:v>199.33333333333334</c:v>
                </c:pt>
                <c:pt idx="6">
                  <c:v>199.76666666666665</c:v>
                </c:pt>
                <c:pt idx="7">
                  <c:v>182</c:v>
                </c:pt>
                <c:pt idx="8">
                  <c:v>174.2</c:v>
                </c:pt>
                <c:pt idx="9">
                  <c:v>169</c:v>
                </c:pt>
                <c:pt idx="10">
                  <c:v>165.1</c:v>
                </c:pt>
                <c:pt idx="11">
                  <c:v>154.69999999999999</c:v>
                </c:pt>
                <c:pt idx="12">
                  <c:v>143</c:v>
                </c:pt>
                <c:pt idx="13">
                  <c:v>136.5</c:v>
                </c:pt>
                <c:pt idx="14">
                  <c:v>126.96666666666667</c:v>
                </c:pt>
                <c:pt idx="15">
                  <c:v>118.3</c:v>
                </c:pt>
                <c:pt idx="16">
                  <c:v>113.53333333333333</c:v>
                </c:pt>
                <c:pt idx="17">
                  <c:v>109.63333333333333</c:v>
                </c:pt>
                <c:pt idx="18">
                  <c:v>102.7</c:v>
                </c:pt>
                <c:pt idx="19">
                  <c:v>98.8</c:v>
                </c:pt>
                <c:pt idx="20">
                  <c:v>92.3</c:v>
                </c:pt>
                <c:pt idx="21">
                  <c:v>87.1</c:v>
                </c:pt>
                <c:pt idx="22">
                  <c:v>81.033333333333331</c:v>
                </c:pt>
                <c:pt idx="23">
                  <c:v>78.433333333333337</c:v>
                </c:pt>
                <c:pt idx="24">
                  <c:v>75.833333333333343</c:v>
                </c:pt>
                <c:pt idx="25">
                  <c:v>71.066666666666663</c:v>
                </c:pt>
                <c:pt idx="26">
                  <c:v>68.033333333333331</c:v>
                </c:pt>
                <c:pt idx="27">
                  <c:v>63.266666666666666</c:v>
                </c:pt>
                <c:pt idx="28">
                  <c:v>60.233333333333334</c:v>
                </c:pt>
                <c:pt idx="29">
                  <c:v>56.766666666666666</c:v>
                </c:pt>
                <c:pt idx="30">
                  <c:v>54.6</c:v>
                </c:pt>
                <c:pt idx="31">
                  <c:v>52.86666666666666</c:v>
                </c:pt>
                <c:pt idx="32">
                  <c:v>49.4</c:v>
                </c:pt>
                <c:pt idx="33">
                  <c:v>47.233333333333334</c:v>
                </c:pt>
                <c:pt idx="34">
                  <c:v>44.2</c:v>
                </c:pt>
                <c:pt idx="35">
                  <c:v>36.4</c:v>
                </c:pt>
                <c:pt idx="36">
                  <c:v>27.733333333333334</c:v>
                </c:pt>
                <c:pt idx="37">
                  <c:v>22.533333333333331</c:v>
                </c:pt>
                <c:pt idx="38">
                  <c:v>18.633333333333333</c:v>
                </c:pt>
                <c:pt idx="39">
                  <c:v>10.4</c:v>
                </c:pt>
                <c:pt idx="40">
                  <c:v>3.9</c:v>
                </c:pt>
                <c:pt idx="41">
                  <c:v>-3.4666666666666668</c:v>
                </c:pt>
                <c:pt idx="42">
                  <c:v>-3.4666666666666668</c:v>
                </c:pt>
                <c:pt idx="43">
                  <c:v>-3.4666666666666668</c:v>
                </c:pt>
                <c:pt idx="44">
                  <c:v>-2.6</c:v>
                </c:pt>
                <c:pt idx="45">
                  <c:v>-2.166666666666667</c:v>
                </c:pt>
                <c:pt idx="46">
                  <c:v>-1.7333333333333334</c:v>
                </c:pt>
                <c:pt idx="47">
                  <c:v>-1.3</c:v>
                </c:pt>
                <c:pt idx="48">
                  <c:v>-0.43333333333333335</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0-88F3-41FF-B692-2A519221DCB3}"/>
            </c:ext>
          </c:extLst>
        </c:ser>
        <c:ser>
          <c:idx val="1"/>
          <c:order val="1"/>
          <c:tx>
            <c:v>Intensivstation</c:v>
          </c:tx>
          <c:spPr>
            <a:ln w="28575" cap="rnd">
              <a:solidFill>
                <a:srgbClr val="C00000"/>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Prognoseergebnis!$P$66:$P$135</c:f>
              <c:numCache>
                <c:formatCode>#,##0</c:formatCode>
                <c:ptCount val="70"/>
                <c:pt idx="0">
                  <c:v>167</c:v>
                </c:pt>
                <c:pt idx="1">
                  <c:v>166</c:v>
                </c:pt>
                <c:pt idx="2">
                  <c:v>157</c:v>
                </c:pt>
                <c:pt idx="3">
                  <c:v>150</c:v>
                </c:pt>
                <c:pt idx="4">
                  <c:v>149</c:v>
                </c:pt>
                <c:pt idx="5">
                  <c:v>135</c:v>
                </c:pt>
                <c:pt idx="6">
                  <c:v>125</c:v>
                </c:pt>
                <c:pt idx="7">
                  <c:v>117</c:v>
                </c:pt>
                <c:pt idx="8">
                  <c:v>109</c:v>
                </c:pt>
                <c:pt idx="9">
                  <c:v>101</c:v>
                </c:pt>
                <c:pt idx="10">
                  <c:v>96</c:v>
                </c:pt>
                <c:pt idx="11">
                  <c:v>95</c:v>
                </c:pt>
                <c:pt idx="12">
                  <c:v>92</c:v>
                </c:pt>
                <c:pt idx="13">
                  <c:v>83</c:v>
                </c:pt>
                <c:pt idx="14">
                  <c:v>80</c:v>
                </c:pt>
                <c:pt idx="15">
                  <c:v>74</c:v>
                </c:pt>
                <c:pt idx="16">
                  <c:v>69</c:v>
                </c:pt>
                <c:pt idx="17">
                  <c:v>66</c:v>
                </c:pt>
                <c:pt idx="18">
                  <c:v>66</c:v>
                </c:pt>
                <c:pt idx="19">
                  <c:v>61</c:v>
                </c:pt>
                <c:pt idx="20">
                  <c:v>58</c:v>
                </c:pt>
                <c:pt idx="21">
                  <c:v>54</c:v>
                </c:pt>
                <c:pt idx="22">
                  <c:v>52</c:v>
                </c:pt>
                <c:pt idx="23">
                  <c:v>47</c:v>
                </c:pt>
                <c:pt idx="24">
                  <c:v>45</c:v>
                </c:pt>
                <c:pt idx="25">
                  <c:v>45</c:v>
                </c:pt>
                <c:pt idx="26">
                  <c:v>42</c:v>
                </c:pt>
                <c:pt idx="27">
                  <c:v>41</c:v>
                </c:pt>
                <c:pt idx="28">
                  <c:v>37</c:v>
                </c:pt>
                <c:pt idx="29">
                  <c:v>35</c:v>
                </c:pt>
                <c:pt idx="30">
                  <c:v>33</c:v>
                </c:pt>
                <c:pt idx="31">
                  <c:v>31</c:v>
                </c:pt>
                <c:pt idx="32">
                  <c:v>31</c:v>
                </c:pt>
                <c:pt idx="33">
                  <c:v>29</c:v>
                </c:pt>
                <c:pt idx="34">
                  <c:v>28</c:v>
                </c:pt>
                <c:pt idx="35">
                  <c:v>24</c:v>
                </c:pt>
                <c:pt idx="36">
                  <c:v>22</c:v>
                </c:pt>
                <c:pt idx="37">
                  <c:v>20</c:v>
                </c:pt>
                <c:pt idx="38">
                  <c:v>18</c:v>
                </c:pt>
                <c:pt idx="39">
                  <c:v>17</c:v>
                </c:pt>
                <c:pt idx="40">
                  <c:v>15</c:v>
                </c:pt>
                <c:pt idx="41">
                  <c:v>12</c:v>
                </c:pt>
                <c:pt idx="42">
                  <c:v>10</c:v>
                </c:pt>
                <c:pt idx="43">
                  <c:v>9</c:v>
                </c:pt>
                <c:pt idx="44">
                  <c:v>7</c:v>
                </c:pt>
                <c:pt idx="45">
                  <c:v>6</c:v>
                </c:pt>
                <c:pt idx="46">
                  <c:v>5</c:v>
                </c:pt>
                <c:pt idx="47">
                  <c:v>4</c:v>
                </c:pt>
                <c:pt idx="48">
                  <c:v>2</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smooth val="0"/>
          <c:extLst>
            <c:ext xmlns:c16="http://schemas.microsoft.com/office/drawing/2014/chart" uri="{C3380CC4-5D6E-409C-BE32-E72D297353CC}">
              <c16:uniqueId val="{00000001-88F3-41FF-B692-2A519221DCB3}"/>
            </c:ext>
          </c:extLst>
        </c:ser>
        <c:dLbls>
          <c:showLegendKey val="0"/>
          <c:showVal val="0"/>
          <c:showCatName val="0"/>
          <c:showSerName val="0"/>
          <c:showPercent val="0"/>
          <c:showBubbleSize val="0"/>
        </c:dLbls>
        <c:marker val="1"/>
        <c:smooth val="0"/>
        <c:axId val="353325056"/>
        <c:axId val="353326592"/>
      </c:lineChart>
      <c:scatterChart>
        <c:scatterStyle val="lineMarker"/>
        <c:varyColors val="0"/>
        <c:ser>
          <c:idx val="2"/>
          <c:order val="2"/>
          <c:tx>
            <c:strRef>
              <c:f>'Grafische Darstellung'!$AR$2</c:f>
              <c:strCache>
                <c:ptCount val="1"/>
                <c:pt idx="0">
                  <c:v>Höchster Peak (Normalstation)</c:v>
                </c:pt>
              </c:strCache>
            </c:strRef>
          </c:tx>
          <c:spPr>
            <a:ln w="25400" cap="rnd">
              <a:noFill/>
              <a:round/>
            </a:ln>
            <a:effectLst/>
          </c:spPr>
          <c:marker>
            <c:symbol val="diamond"/>
            <c:size val="10"/>
            <c:spPr>
              <a:solidFill>
                <a:srgbClr val="FF0000"/>
              </a:solidFill>
              <a:ln w="9525">
                <a:noFill/>
              </a:ln>
              <a:effectLst/>
            </c:spPr>
          </c:marker>
          <c:dLbls>
            <c:dLbl>
              <c:idx val="0"/>
              <c:tx>
                <c:rich>
                  <a:bodyPr/>
                  <a:lstStyle/>
                  <a:p>
                    <a:fld id="{6689D5B4-EB64-469A-B28B-585AAE265208}"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88F3-41FF-B692-2A519221DC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Darstellung'!$AS$19</c:f>
              <c:numCache>
                <c:formatCode>m/d/yyyy</c:formatCode>
                <c:ptCount val="1"/>
                <c:pt idx="0">
                  <c:v>44343</c:v>
                </c:pt>
              </c:numCache>
            </c:numRef>
          </c:xVal>
          <c:yVal>
            <c:numRef>
              <c:f>'Grafische Darstellung'!$AS$18</c:f>
              <c:numCache>
                <c:formatCode>#,##0</c:formatCode>
                <c:ptCount val="1"/>
                <c:pt idx="0">
                  <c:v>279.5</c:v>
                </c:pt>
              </c:numCache>
            </c:numRef>
          </c:yVal>
          <c:smooth val="0"/>
          <c:extLst>
            <c:ext xmlns:c15="http://schemas.microsoft.com/office/drawing/2012/chart" uri="{02D57815-91ED-43cb-92C2-25804820EDAC}">
              <c15:datalabelsRange>
                <c15:f>'Grafische Darstellung'!$AU$18</c15:f>
                <c15:dlblRangeCache>
                  <c:ptCount val="1"/>
                  <c:pt idx="0">
                    <c:v>Peak: 280 am 27.05</c:v>
                  </c:pt>
                </c15:dlblRangeCache>
              </c15:datalabelsRange>
            </c:ext>
            <c:ext xmlns:c16="http://schemas.microsoft.com/office/drawing/2014/chart" uri="{C3380CC4-5D6E-409C-BE32-E72D297353CC}">
              <c16:uniqueId val="{00000003-88F3-41FF-B692-2A519221DCB3}"/>
            </c:ext>
          </c:extLst>
        </c:ser>
        <c:ser>
          <c:idx val="3"/>
          <c:order val="3"/>
          <c:tx>
            <c:strRef>
              <c:f>'Grafische Darstellung'!$AR$6</c:f>
              <c:strCache>
                <c:ptCount val="1"/>
                <c:pt idx="0">
                  <c:v>Höchster Peak (Intensivstation)</c:v>
                </c:pt>
              </c:strCache>
            </c:strRef>
          </c:tx>
          <c:spPr>
            <a:ln w="25400" cap="rnd">
              <a:noFill/>
              <a:round/>
            </a:ln>
            <a:effectLst/>
          </c:spPr>
          <c:marker>
            <c:symbol val="diamond"/>
            <c:size val="10"/>
            <c:spPr>
              <a:solidFill>
                <a:schemeClr val="accent4"/>
              </a:solidFill>
              <a:ln w="9525">
                <a:solidFill>
                  <a:schemeClr val="accent4"/>
                </a:solidFill>
              </a:ln>
              <a:effectLst/>
            </c:spPr>
          </c:marker>
          <c:dLbls>
            <c:dLbl>
              <c:idx val="0"/>
              <c:tx>
                <c:rich>
                  <a:bodyPr/>
                  <a:lstStyle/>
                  <a:p>
                    <a:fld id="{47255436-5D2D-4E72-9CC4-AB99AB911763}"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88F3-41FF-B692-2A519221DC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Darstellung'!$AS$23</c:f>
              <c:numCache>
                <c:formatCode>m/d/yyyy</c:formatCode>
                <c:ptCount val="1"/>
                <c:pt idx="0">
                  <c:v>44343</c:v>
                </c:pt>
              </c:numCache>
            </c:numRef>
          </c:xVal>
          <c:yVal>
            <c:numRef>
              <c:f>'Grafische Darstellung'!$AS$22</c:f>
              <c:numCache>
                <c:formatCode>General</c:formatCode>
                <c:ptCount val="1"/>
                <c:pt idx="0">
                  <c:v>167</c:v>
                </c:pt>
              </c:numCache>
            </c:numRef>
          </c:yVal>
          <c:smooth val="0"/>
          <c:extLst>
            <c:ext xmlns:c15="http://schemas.microsoft.com/office/drawing/2012/chart" uri="{02D57815-91ED-43cb-92C2-25804820EDAC}">
              <c15:datalabelsRange>
                <c15:f>'Grafische Darstellung'!$AU$22</c15:f>
                <c15:dlblRangeCache>
                  <c:ptCount val="1"/>
                  <c:pt idx="0">
                    <c:v>Peak: 167 am 27.05</c:v>
                  </c:pt>
                </c15:dlblRangeCache>
              </c15:datalabelsRange>
            </c:ext>
            <c:ext xmlns:c16="http://schemas.microsoft.com/office/drawing/2014/chart" uri="{C3380CC4-5D6E-409C-BE32-E72D297353CC}">
              <c16:uniqueId val="{00000005-88F3-41FF-B692-2A519221DCB3}"/>
            </c:ext>
          </c:extLst>
        </c:ser>
        <c:dLbls>
          <c:showLegendKey val="0"/>
          <c:showVal val="0"/>
          <c:showCatName val="0"/>
          <c:showSerName val="0"/>
          <c:showPercent val="0"/>
          <c:showBubbleSize val="0"/>
        </c:dLbls>
        <c:axId val="353338112"/>
        <c:axId val="353328128"/>
      </c:scatterChart>
      <c:dateAx>
        <c:axId val="353325056"/>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26592"/>
        <c:crosses val="autoZero"/>
        <c:auto val="1"/>
        <c:lblOffset val="100"/>
        <c:baseTimeUnit val="days"/>
      </c:dateAx>
      <c:valAx>
        <c:axId val="3533265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25056"/>
        <c:crosses val="autoZero"/>
        <c:crossBetween val="between"/>
      </c:valAx>
      <c:valAx>
        <c:axId val="353328128"/>
        <c:scaling>
          <c:orientation val="minMax"/>
        </c:scaling>
        <c:delete val="1"/>
        <c:axPos val="r"/>
        <c:numFmt formatCode="#,##0" sourceLinked="1"/>
        <c:majorTickMark val="out"/>
        <c:minorTickMark val="none"/>
        <c:tickLblPos val="nextTo"/>
        <c:crossAx val="353338112"/>
        <c:crosses val="max"/>
        <c:crossBetween val="midCat"/>
      </c:valAx>
      <c:valAx>
        <c:axId val="353338112"/>
        <c:scaling>
          <c:orientation val="minMax"/>
        </c:scaling>
        <c:delete val="1"/>
        <c:axPos val="b"/>
        <c:numFmt formatCode="m/d/yyyy" sourceLinked="1"/>
        <c:majorTickMark val="out"/>
        <c:minorTickMark val="none"/>
        <c:tickLblPos val="nextTo"/>
        <c:crossAx val="353328128"/>
        <c:crosses val="autoZero"/>
        <c:crossBetween val="midCat"/>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Benötigte Masken (Intensivstation), Pro Tag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barChart>
        <c:barDir val="col"/>
        <c:grouping val="clustered"/>
        <c:varyColors val="0"/>
        <c:ser>
          <c:idx val="0"/>
          <c:order val="0"/>
          <c:tx>
            <c:v>Pro Tag</c:v>
          </c:tx>
          <c:spPr>
            <a:solidFill>
              <a:schemeClr val="accent1">
                <a:lumMod val="75000"/>
                <a:lumOff val="25000"/>
              </a:schemeClr>
            </a:solidFill>
            <a:ln>
              <a:noFill/>
            </a:ln>
            <a:effectLst/>
          </c:spPr>
          <c:invertIfNegative val="0"/>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Prognoseergebnis!$K$66:$K$135</c:f>
              <c:numCache>
                <c:formatCode>#,##0</c:formatCode>
                <c:ptCount val="70"/>
                <c:pt idx="0">
                  <c:v>3060</c:v>
                </c:pt>
                <c:pt idx="1">
                  <c:v>3040</c:v>
                </c:pt>
                <c:pt idx="2">
                  <c:v>2880</c:v>
                </c:pt>
                <c:pt idx="3">
                  <c:v>2760</c:v>
                </c:pt>
                <c:pt idx="4">
                  <c:v>2740</c:v>
                </c:pt>
                <c:pt idx="5">
                  <c:v>2480</c:v>
                </c:pt>
                <c:pt idx="6">
                  <c:v>2300</c:v>
                </c:pt>
                <c:pt idx="7">
                  <c:v>2140</c:v>
                </c:pt>
                <c:pt idx="8">
                  <c:v>2000</c:v>
                </c:pt>
                <c:pt idx="9">
                  <c:v>1860</c:v>
                </c:pt>
                <c:pt idx="10">
                  <c:v>1760</c:v>
                </c:pt>
                <c:pt idx="11">
                  <c:v>1740</c:v>
                </c:pt>
                <c:pt idx="12">
                  <c:v>1680</c:v>
                </c:pt>
                <c:pt idx="13">
                  <c:v>1520</c:v>
                </c:pt>
                <c:pt idx="14">
                  <c:v>1460</c:v>
                </c:pt>
                <c:pt idx="15">
                  <c:v>1360</c:v>
                </c:pt>
                <c:pt idx="16">
                  <c:v>1260</c:v>
                </c:pt>
                <c:pt idx="17">
                  <c:v>1200</c:v>
                </c:pt>
                <c:pt idx="18">
                  <c:v>1200</c:v>
                </c:pt>
                <c:pt idx="19">
                  <c:v>1120</c:v>
                </c:pt>
                <c:pt idx="20">
                  <c:v>1060</c:v>
                </c:pt>
                <c:pt idx="21">
                  <c:v>980</c:v>
                </c:pt>
                <c:pt idx="22">
                  <c:v>940</c:v>
                </c:pt>
                <c:pt idx="23">
                  <c:v>860</c:v>
                </c:pt>
                <c:pt idx="24">
                  <c:v>820</c:v>
                </c:pt>
                <c:pt idx="25">
                  <c:v>820</c:v>
                </c:pt>
                <c:pt idx="26">
                  <c:v>760</c:v>
                </c:pt>
                <c:pt idx="27">
                  <c:v>740</c:v>
                </c:pt>
                <c:pt idx="28">
                  <c:v>680</c:v>
                </c:pt>
                <c:pt idx="29">
                  <c:v>640</c:v>
                </c:pt>
                <c:pt idx="30">
                  <c:v>600</c:v>
                </c:pt>
                <c:pt idx="31">
                  <c:v>560</c:v>
                </c:pt>
                <c:pt idx="32">
                  <c:v>560</c:v>
                </c:pt>
                <c:pt idx="33">
                  <c:v>520</c:v>
                </c:pt>
                <c:pt idx="34">
                  <c:v>500</c:v>
                </c:pt>
                <c:pt idx="35">
                  <c:v>440</c:v>
                </c:pt>
                <c:pt idx="36">
                  <c:v>400</c:v>
                </c:pt>
                <c:pt idx="37">
                  <c:v>360</c:v>
                </c:pt>
                <c:pt idx="38">
                  <c:v>320</c:v>
                </c:pt>
                <c:pt idx="39">
                  <c:v>300</c:v>
                </c:pt>
                <c:pt idx="40">
                  <c:v>260</c:v>
                </c:pt>
                <c:pt idx="41">
                  <c:v>220</c:v>
                </c:pt>
                <c:pt idx="42">
                  <c:v>180</c:v>
                </c:pt>
                <c:pt idx="43">
                  <c:v>160</c:v>
                </c:pt>
                <c:pt idx="44">
                  <c:v>120</c:v>
                </c:pt>
                <c:pt idx="45">
                  <c:v>100</c:v>
                </c:pt>
                <c:pt idx="46">
                  <c:v>80</c:v>
                </c:pt>
                <c:pt idx="47">
                  <c:v>60</c:v>
                </c:pt>
                <c:pt idx="48">
                  <c:v>20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numCache>
            </c:numRef>
          </c:val>
          <c:extLst>
            <c:ext xmlns:c16="http://schemas.microsoft.com/office/drawing/2014/chart" uri="{C3380CC4-5D6E-409C-BE32-E72D297353CC}">
              <c16:uniqueId val="{00000001-343F-4E6B-8B4B-4056EFD03829}"/>
            </c:ext>
          </c:extLst>
        </c:ser>
        <c:dLbls>
          <c:showLegendKey val="0"/>
          <c:showVal val="0"/>
          <c:showCatName val="0"/>
          <c:showSerName val="0"/>
          <c:showPercent val="0"/>
          <c:showBubbleSize val="0"/>
        </c:dLbls>
        <c:gapWidth val="219"/>
        <c:overlap val="-27"/>
        <c:axId val="353363840"/>
        <c:axId val="353370112"/>
      </c:barChart>
      <c:dateAx>
        <c:axId val="3533638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Zeitverlauf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70112"/>
        <c:crosses val="autoZero"/>
        <c:auto val="1"/>
        <c:lblOffset val="100"/>
        <c:baseTimeUnit val="days"/>
      </c:dateAx>
      <c:valAx>
        <c:axId val="3533701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363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Anzahl</a:t>
            </a:r>
            <a:r>
              <a:rPr lang="de-DE" baseline="0"/>
              <a:t> Infektionen</a:t>
            </a:r>
            <a:r>
              <a:rPr lang="de-DE"/>
              <a:t>, kumulierte Fälle im Einzugsgebiet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areaChart>
        <c:grouping val="standard"/>
        <c:varyColors val="0"/>
        <c:ser>
          <c:idx val="0"/>
          <c:order val="0"/>
          <c:tx>
            <c:strRef>
              <c:f>Prognoseergebnis!$D$66</c:f>
              <c:strCache>
                <c:ptCount val="1"/>
                <c:pt idx="0">
                  <c:v>689.774</c:v>
                </c:pt>
              </c:strCache>
            </c:strRef>
          </c:tx>
          <c:spPr>
            <a:solidFill>
              <a:schemeClr val="accent4">
                <a:lumMod val="20000"/>
                <a:lumOff val="80000"/>
              </a:schemeClr>
            </a:solidFill>
            <a:ln>
              <a:noFill/>
            </a:ln>
            <a:effectLst/>
          </c:spP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Prognoseergebnis!$D$66:$D$135</c:f>
              <c:numCache>
                <c:formatCode>#,##0</c:formatCode>
                <c:ptCount val="70"/>
                <c:pt idx="0">
                  <c:v>689773.52277823398</c:v>
                </c:pt>
                <c:pt idx="1">
                  <c:v>690407.33766806137</c:v>
                </c:pt>
                <c:pt idx="2">
                  <c:v>690796.03398723167</c:v>
                </c:pt>
                <c:pt idx="3">
                  <c:v>691058.28454862605</c:v>
                </c:pt>
                <c:pt idx="4">
                  <c:v>691616.90027204179</c:v>
                </c:pt>
                <c:pt idx="5">
                  <c:v>692166.30387161928</c:v>
                </c:pt>
                <c:pt idx="6">
                  <c:v>692709.8072442126</c:v>
                </c:pt>
                <c:pt idx="7">
                  <c:v>693160.12890030968</c:v>
                </c:pt>
                <c:pt idx="8">
                  <c:v>693629.04730736755</c:v>
                </c:pt>
                <c:pt idx="9">
                  <c:v>693911.14252275811</c:v>
                </c:pt>
                <c:pt idx="10">
                  <c:v>694108.4595936063</c:v>
                </c:pt>
                <c:pt idx="11">
                  <c:v>694490.26475710783</c:v>
                </c:pt>
                <c:pt idx="12">
                  <c:v>694822.15960312856</c:v>
                </c:pt>
                <c:pt idx="13">
                  <c:v>695211.35255282896</c:v>
                </c:pt>
                <c:pt idx="14">
                  <c:v>695501.84428911482</c:v>
                </c:pt>
                <c:pt idx="15">
                  <c:v>695811.94153529964</c:v>
                </c:pt>
                <c:pt idx="16">
                  <c:v>696003.44049084536</c:v>
                </c:pt>
                <c:pt idx="17">
                  <c:v>696138.98497970018</c:v>
                </c:pt>
                <c:pt idx="18">
                  <c:v>696412.67506532709</c:v>
                </c:pt>
                <c:pt idx="19">
                  <c:v>696653.18128246232</c:v>
                </c:pt>
                <c:pt idx="20">
                  <c:v>696917.33739818248</c:v>
                </c:pt>
                <c:pt idx="21">
                  <c:v>697110.0247722225</c:v>
                </c:pt>
                <c:pt idx="22">
                  <c:v>697314.11223608966</c:v>
                </c:pt>
                <c:pt idx="23">
                  <c:v>697446.10348658706</c:v>
                </c:pt>
                <c:pt idx="24">
                  <c:v>697540.0188059262</c:v>
                </c:pt>
                <c:pt idx="25">
                  <c:v>697734.27341039968</c:v>
                </c:pt>
                <c:pt idx="26">
                  <c:v>697904.03182428225</c:v>
                </c:pt>
                <c:pt idx="27">
                  <c:v>698085.03050011373</c:v>
                </c:pt>
                <c:pt idx="28">
                  <c:v>698218.5613023123</c:v>
                </c:pt>
                <c:pt idx="29">
                  <c:v>698359.58018012845</c:v>
                </c:pt>
                <c:pt idx="30">
                  <c:v>698450.89984557976</c:v>
                </c:pt>
                <c:pt idx="31">
                  <c:v>698515.87134792015</c:v>
                </c:pt>
                <c:pt idx="32">
                  <c:v>698651.05025984894</c:v>
                </c:pt>
                <c:pt idx="33">
                  <c:v>698770.16454065219</c:v>
                </c:pt>
                <c:pt idx="34">
                  <c:v>698897.79656085023</c:v>
                </c:pt>
                <c:pt idx="35">
                  <c:v>698897.79656085023</c:v>
                </c:pt>
                <c:pt idx="36">
                  <c:v>698897.79656085023</c:v>
                </c:pt>
                <c:pt idx="37">
                  <c:v>698897.79656085023</c:v>
                </c:pt>
                <c:pt idx="38">
                  <c:v>698897.79656085023</c:v>
                </c:pt>
                <c:pt idx="39">
                  <c:v>698897.79656085023</c:v>
                </c:pt>
                <c:pt idx="40">
                  <c:v>698897.79656085023</c:v>
                </c:pt>
                <c:pt idx="41">
                  <c:v>698897.79656085023</c:v>
                </c:pt>
                <c:pt idx="42">
                  <c:v>698897.79656085023</c:v>
                </c:pt>
                <c:pt idx="43">
                  <c:v>698897.79656085023</c:v>
                </c:pt>
                <c:pt idx="44">
                  <c:v>698897.79656085023</c:v>
                </c:pt>
                <c:pt idx="45">
                  <c:v>698897.79656085023</c:v>
                </c:pt>
                <c:pt idx="46">
                  <c:v>698897.79656085023</c:v>
                </c:pt>
                <c:pt idx="47">
                  <c:v>698897.79656085023</c:v>
                </c:pt>
                <c:pt idx="48">
                  <c:v>698897.79656085023</c:v>
                </c:pt>
                <c:pt idx="49">
                  <c:v>698897.79656085023</c:v>
                </c:pt>
                <c:pt idx="50">
                  <c:v>698897.79656085023</c:v>
                </c:pt>
                <c:pt idx="51">
                  <c:v>698897.79656085023</c:v>
                </c:pt>
                <c:pt idx="52">
                  <c:v>698897.79656085023</c:v>
                </c:pt>
                <c:pt idx="53">
                  <c:v>698897.79656085023</c:v>
                </c:pt>
                <c:pt idx="54">
                  <c:v>698897.79656085023</c:v>
                </c:pt>
                <c:pt idx="55">
                  <c:v>698897.79656085023</c:v>
                </c:pt>
                <c:pt idx="56">
                  <c:v>698897.79656085023</c:v>
                </c:pt>
                <c:pt idx="57">
                  <c:v>698897.79656085023</c:v>
                </c:pt>
                <c:pt idx="58">
                  <c:v>698897.79656085023</c:v>
                </c:pt>
                <c:pt idx="59">
                  <c:v>698897.79656085023</c:v>
                </c:pt>
                <c:pt idx="60">
                  <c:v>698897.79656085023</c:v>
                </c:pt>
                <c:pt idx="61">
                  <c:v>698897.79656085023</c:v>
                </c:pt>
                <c:pt idx="62">
                  <c:v>698897.79656085023</c:v>
                </c:pt>
                <c:pt idx="63">
                  <c:v>698897.79656085023</c:v>
                </c:pt>
                <c:pt idx="64">
                  <c:v>698897.79656085023</c:v>
                </c:pt>
                <c:pt idx="65">
                  <c:v>698897.79656085023</c:v>
                </c:pt>
                <c:pt idx="66">
                  <c:v>698897.79656085023</c:v>
                </c:pt>
                <c:pt idx="67">
                  <c:v>698897.79656085023</c:v>
                </c:pt>
                <c:pt idx="68">
                  <c:v>698897.79656085023</c:v>
                </c:pt>
                <c:pt idx="69">
                  <c:v>698897.79656085023</c:v>
                </c:pt>
              </c:numCache>
            </c:numRef>
          </c:val>
          <c:extLst>
            <c:ext xmlns:c16="http://schemas.microsoft.com/office/drawing/2014/chart" uri="{C3380CC4-5D6E-409C-BE32-E72D297353CC}">
              <c16:uniqueId val="{00000001-7683-469A-AA08-3CDFA4EF29AA}"/>
            </c:ext>
          </c:extLst>
        </c:ser>
        <c:dLbls>
          <c:showLegendKey val="0"/>
          <c:showVal val="0"/>
          <c:showCatName val="0"/>
          <c:showSerName val="0"/>
          <c:showPercent val="0"/>
          <c:showBubbleSize val="0"/>
        </c:dLbls>
        <c:axId val="353403264"/>
        <c:axId val="353405184"/>
      </c:areaChart>
      <c:dateAx>
        <c:axId val="353403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Zeitverlauf</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405184"/>
        <c:crosses val="autoZero"/>
        <c:auto val="1"/>
        <c:lblOffset val="100"/>
        <c:baseTimeUnit val="days"/>
      </c:dateAx>
      <c:valAx>
        <c:axId val="353405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de-DE"/>
                  <a:t>Kumulierte Fälle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340326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de-DE"/>
              <a:t>Mitarbeiterbedarf pro 24h, Ärztlicher Dienst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de-DE"/>
        </a:p>
      </c:txPr>
    </c:title>
    <c:autoTitleDeleted val="0"/>
    <c:plotArea>
      <c:layout/>
      <c:lineChart>
        <c:grouping val="standard"/>
        <c:varyColors val="0"/>
        <c:ser>
          <c:idx val="0"/>
          <c:order val="0"/>
          <c:tx>
            <c:v>Normalstation</c:v>
          </c:tx>
          <c:spPr>
            <a:ln w="28575" cap="rnd">
              <a:solidFill>
                <a:srgbClr val="FF0000"/>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Prognoseergebnis!$Q$66:$Q$170</c:f>
              <c:numCache>
                <c:formatCode>#,##0</c:formatCode>
                <c:ptCount val="105"/>
                <c:pt idx="0">
                  <c:v>45</c:v>
                </c:pt>
                <c:pt idx="1">
                  <c:v>41</c:v>
                </c:pt>
                <c:pt idx="2">
                  <c:v>39</c:v>
                </c:pt>
                <c:pt idx="3">
                  <c:v>37</c:v>
                </c:pt>
                <c:pt idx="4">
                  <c:v>37</c:v>
                </c:pt>
                <c:pt idx="5">
                  <c:v>32</c:v>
                </c:pt>
                <c:pt idx="6">
                  <c:v>33</c:v>
                </c:pt>
                <c:pt idx="7">
                  <c:v>30</c:v>
                </c:pt>
                <c:pt idx="8">
                  <c:v>28</c:v>
                </c:pt>
                <c:pt idx="9">
                  <c:v>28</c:v>
                </c:pt>
                <c:pt idx="10">
                  <c:v>27</c:v>
                </c:pt>
                <c:pt idx="11">
                  <c:v>25</c:v>
                </c:pt>
                <c:pt idx="12">
                  <c:v>23</c:v>
                </c:pt>
                <c:pt idx="13">
                  <c:v>22</c:v>
                </c:pt>
                <c:pt idx="14">
                  <c:v>21</c:v>
                </c:pt>
                <c:pt idx="15">
                  <c:v>19</c:v>
                </c:pt>
                <c:pt idx="16">
                  <c:v>19</c:v>
                </c:pt>
                <c:pt idx="17">
                  <c:v>18</c:v>
                </c:pt>
                <c:pt idx="18">
                  <c:v>17</c:v>
                </c:pt>
                <c:pt idx="19">
                  <c:v>16</c:v>
                </c:pt>
                <c:pt idx="20">
                  <c:v>15</c:v>
                </c:pt>
                <c:pt idx="21">
                  <c:v>14</c:v>
                </c:pt>
                <c:pt idx="22">
                  <c:v>13</c:v>
                </c:pt>
                <c:pt idx="23">
                  <c:v>13</c:v>
                </c:pt>
                <c:pt idx="24">
                  <c:v>13</c:v>
                </c:pt>
                <c:pt idx="25">
                  <c:v>12</c:v>
                </c:pt>
                <c:pt idx="26">
                  <c:v>11</c:v>
                </c:pt>
                <c:pt idx="27">
                  <c:v>11</c:v>
                </c:pt>
                <c:pt idx="28">
                  <c:v>10</c:v>
                </c:pt>
                <c:pt idx="29">
                  <c:v>10</c:v>
                </c:pt>
                <c:pt idx="30">
                  <c:v>9</c:v>
                </c:pt>
                <c:pt idx="31">
                  <c:v>9</c:v>
                </c:pt>
                <c:pt idx="32">
                  <c:v>8</c:v>
                </c:pt>
                <c:pt idx="33">
                  <c:v>8</c:v>
                </c:pt>
                <c:pt idx="34">
                  <c:v>8</c:v>
                </c:pt>
                <c:pt idx="35">
                  <c:v>6</c:v>
                </c:pt>
                <c:pt idx="36">
                  <c:v>5</c:v>
                </c:pt>
                <c:pt idx="37">
                  <c:v>4</c:v>
                </c:pt>
                <c:pt idx="38">
                  <c:v>3</c:v>
                </c:pt>
                <c:pt idx="39">
                  <c:v>2</c:v>
                </c:pt>
                <c:pt idx="40">
                  <c:v>1</c:v>
                </c:pt>
                <c:pt idx="41">
                  <c:v>-1</c:v>
                </c:pt>
                <c:pt idx="42">
                  <c:v>-1</c:v>
                </c:pt>
                <c:pt idx="43">
                  <c:v>-1</c:v>
                </c:pt>
                <c:pt idx="44">
                  <c:v>-1</c:v>
                </c:pt>
                <c:pt idx="45">
                  <c:v>-1</c:v>
                </c:pt>
                <c:pt idx="46">
                  <c:v>-1</c:v>
                </c:pt>
                <c:pt idx="47">
                  <c:v>-1</c:v>
                </c:pt>
                <c:pt idx="48">
                  <c:v>-1</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0-AEA7-4026-9B61-F825784E01A7}"/>
            </c:ext>
          </c:extLst>
        </c:ser>
        <c:ser>
          <c:idx val="1"/>
          <c:order val="1"/>
          <c:tx>
            <c:v>Intensivstation</c:v>
          </c:tx>
          <c:spPr>
            <a:ln w="28575" cap="rnd">
              <a:solidFill>
                <a:srgbClr val="C00000"/>
              </a:solidFill>
              <a:round/>
            </a:ln>
            <a:effectLst/>
          </c:spPr>
          <c:marker>
            <c:symbol val="none"/>
          </c:marker>
          <c:cat>
            <c:numRef>
              <c:f>Prognoseergebnis!$C$66:$C$135</c:f>
              <c:numCache>
                <c:formatCode>m/d/yyyy</c:formatCode>
                <c:ptCount val="70"/>
                <c:pt idx="0">
                  <c:v>44343</c:v>
                </c:pt>
                <c:pt idx="1">
                  <c:v>44344</c:v>
                </c:pt>
                <c:pt idx="2">
                  <c:v>44345</c:v>
                </c:pt>
                <c:pt idx="3">
                  <c:v>44346</c:v>
                </c:pt>
                <c:pt idx="4">
                  <c:v>44347</c:v>
                </c:pt>
                <c:pt idx="5">
                  <c:v>44348</c:v>
                </c:pt>
                <c:pt idx="6">
                  <c:v>44349</c:v>
                </c:pt>
                <c:pt idx="7">
                  <c:v>44350</c:v>
                </c:pt>
                <c:pt idx="8">
                  <c:v>44351</c:v>
                </c:pt>
                <c:pt idx="9">
                  <c:v>44352</c:v>
                </c:pt>
                <c:pt idx="10">
                  <c:v>44353</c:v>
                </c:pt>
                <c:pt idx="11">
                  <c:v>44354</c:v>
                </c:pt>
                <c:pt idx="12">
                  <c:v>44355</c:v>
                </c:pt>
                <c:pt idx="13">
                  <c:v>44356</c:v>
                </c:pt>
                <c:pt idx="14">
                  <c:v>44357</c:v>
                </c:pt>
                <c:pt idx="15">
                  <c:v>44358</c:v>
                </c:pt>
                <c:pt idx="16">
                  <c:v>44359</c:v>
                </c:pt>
                <c:pt idx="17">
                  <c:v>44360</c:v>
                </c:pt>
                <c:pt idx="18">
                  <c:v>44361</c:v>
                </c:pt>
                <c:pt idx="19">
                  <c:v>44362</c:v>
                </c:pt>
                <c:pt idx="20">
                  <c:v>44363</c:v>
                </c:pt>
                <c:pt idx="21">
                  <c:v>44364</c:v>
                </c:pt>
                <c:pt idx="22">
                  <c:v>44365</c:v>
                </c:pt>
                <c:pt idx="23">
                  <c:v>44366</c:v>
                </c:pt>
                <c:pt idx="24">
                  <c:v>44367</c:v>
                </c:pt>
                <c:pt idx="25">
                  <c:v>44368</c:v>
                </c:pt>
                <c:pt idx="26">
                  <c:v>44369</c:v>
                </c:pt>
                <c:pt idx="27">
                  <c:v>44370</c:v>
                </c:pt>
                <c:pt idx="28">
                  <c:v>44371</c:v>
                </c:pt>
                <c:pt idx="29">
                  <c:v>44372</c:v>
                </c:pt>
                <c:pt idx="30">
                  <c:v>44373</c:v>
                </c:pt>
                <c:pt idx="31">
                  <c:v>44374</c:v>
                </c:pt>
                <c:pt idx="32">
                  <c:v>44375</c:v>
                </c:pt>
                <c:pt idx="33">
                  <c:v>44376</c:v>
                </c:pt>
                <c:pt idx="34">
                  <c:v>44377</c:v>
                </c:pt>
                <c:pt idx="35">
                  <c:v>44378</c:v>
                </c:pt>
                <c:pt idx="36">
                  <c:v>44379</c:v>
                </c:pt>
                <c:pt idx="37">
                  <c:v>44380</c:v>
                </c:pt>
                <c:pt idx="38">
                  <c:v>44381</c:v>
                </c:pt>
                <c:pt idx="39">
                  <c:v>44382</c:v>
                </c:pt>
                <c:pt idx="40">
                  <c:v>44383</c:v>
                </c:pt>
                <c:pt idx="41">
                  <c:v>44384</c:v>
                </c:pt>
                <c:pt idx="42">
                  <c:v>44385</c:v>
                </c:pt>
                <c:pt idx="43">
                  <c:v>44386</c:v>
                </c:pt>
                <c:pt idx="44">
                  <c:v>44387</c:v>
                </c:pt>
                <c:pt idx="45">
                  <c:v>44388</c:v>
                </c:pt>
                <c:pt idx="46">
                  <c:v>44389</c:v>
                </c:pt>
                <c:pt idx="47">
                  <c:v>44390</c:v>
                </c:pt>
                <c:pt idx="48">
                  <c:v>44391</c:v>
                </c:pt>
                <c:pt idx="49">
                  <c:v>44392</c:v>
                </c:pt>
                <c:pt idx="50">
                  <c:v>44393</c:v>
                </c:pt>
                <c:pt idx="51">
                  <c:v>44394</c:v>
                </c:pt>
                <c:pt idx="52">
                  <c:v>44395</c:v>
                </c:pt>
                <c:pt idx="53">
                  <c:v>44396</c:v>
                </c:pt>
                <c:pt idx="54">
                  <c:v>44397</c:v>
                </c:pt>
                <c:pt idx="55">
                  <c:v>44398</c:v>
                </c:pt>
                <c:pt idx="56">
                  <c:v>44399</c:v>
                </c:pt>
                <c:pt idx="57">
                  <c:v>44400</c:v>
                </c:pt>
                <c:pt idx="58">
                  <c:v>44401</c:v>
                </c:pt>
                <c:pt idx="59">
                  <c:v>44402</c:v>
                </c:pt>
                <c:pt idx="60">
                  <c:v>44403</c:v>
                </c:pt>
                <c:pt idx="61">
                  <c:v>44404</c:v>
                </c:pt>
                <c:pt idx="62">
                  <c:v>44405</c:v>
                </c:pt>
                <c:pt idx="63">
                  <c:v>44406</c:v>
                </c:pt>
                <c:pt idx="64">
                  <c:v>44407</c:v>
                </c:pt>
                <c:pt idx="65">
                  <c:v>44408</c:v>
                </c:pt>
                <c:pt idx="66">
                  <c:v>44409</c:v>
                </c:pt>
                <c:pt idx="67">
                  <c:v>44410</c:v>
                </c:pt>
                <c:pt idx="68">
                  <c:v>44411</c:v>
                </c:pt>
                <c:pt idx="69">
                  <c:v>44412</c:v>
                </c:pt>
              </c:numCache>
            </c:numRef>
          </c:cat>
          <c:val>
            <c:numRef>
              <c:f>Prognoseergebnis!$R$66:$R$170</c:f>
              <c:numCache>
                <c:formatCode>#,##0</c:formatCode>
                <c:ptCount val="105"/>
                <c:pt idx="0">
                  <c:v>21</c:v>
                </c:pt>
                <c:pt idx="1">
                  <c:v>21</c:v>
                </c:pt>
                <c:pt idx="2">
                  <c:v>20</c:v>
                </c:pt>
                <c:pt idx="3">
                  <c:v>19</c:v>
                </c:pt>
                <c:pt idx="4">
                  <c:v>19</c:v>
                </c:pt>
                <c:pt idx="5">
                  <c:v>17</c:v>
                </c:pt>
                <c:pt idx="6">
                  <c:v>16</c:v>
                </c:pt>
                <c:pt idx="7">
                  <c:v>15</c:v>
                </c:pt>
                <c:pt idx="8">
                  <c:v>14</c:v>
                </c:pt>
                <c:pt idx="9">
                  <c:v>13</c:v>
                </c:pt>
                <c:pt idx="10">
                  <c:v>13</c:v>
                </c:pt>
                <c:pt idx="11">
                  <c:v>12</c:v>
                </c:pt>
                <c:pt idx="12">
                  <c:v>12</c:v>
                </c:pt>
                <c:pt idx="13">
                  <c:v>11</c:v>
                </c:pt>
                <c:pt idx="14">
                  <c:v>10</c:v>
                </c:pt>
                <c:pt idx="15">
                  <c:v>10</c:v>
                </c:pt>
                <c:pt idx="16">
                  <c:v>9</c:v>
                </c:pt>
                <c:pt idx="17">
                  <c:v>9</c:v>
                </c:pt>
                <c:pt idx="18">
                  <c:v>9</c:v>
                </c:pt>
                <c:pt idx="19">
                  <c:v>8</c:v>
                </c:pt>
                <c:pt idx="20">
                  <c:v>8</c:v>
                </c:pt>
                <c:pt idx="21">
                  <c:v>7</c:v>
                </c:pt>
                <c:pt idx="22">
                  <c:v>7</c:v>
                </c:pt>
                <c:pt idx="23">
                  <c:v>6</c:v>
                </c:pt>
                <c:pt idx="24">
                  <c:v>6</c:v>
                </c:pt>
                <c:pt idx="25">
                  <c:v>6</c:v>
                </c:pt>
                <c:pt idx="26">
                  <c:v>6</c:v>
                </c:pt>
                <c:pt idx="27">
                  <c:v>6</c:v>
                </c:pt>
                <c:pt idx="28">
                  <c:v>5</c:v>
                </c:pt>
                <c:pt idx="29">
                  <c:v>5</c:v>
                </c:pt>
                <c:pt idx="30">
                  <c:v>5</c:v>
                </c:pt>
                <c:pt idx="31">
                  <c:v>4</c:v>
                </c:pt>
                <c:pt idx="32">
                  <c:v>4</c:v>
                </c:pt>
                <c:pt idx="33">
                  <c:v>4</c:v>
                </c:pt>
                <c:pt idx="34">
                  <c:v>4</c:v>
                </c:pt>
                <c:pt idx="35">
                  <c:v>4</c:v>
                </c:pt>
                <c:pt idx="36">
                  <c:v>3</c:v>
                </c:pt>
                <c:pt idx="37">
                  <c:v>3</c:v>
                </c:pt>
                <c:pt idx="38">
                  <c:v>3</c:v>
                </c:pt>
                <c:pt idx="39">
                  <c:v>3</c:v>
                </c:pt>
                <c:pt idx="40">
                  <c:v>2</c:v>
                </c:pt>
                <c:pt idx="41">
                  <c:v>2</c:v>
                </c:pt>
                <c:pt idx="42">
                  <c:v>2</c:v>
                </c:pt>
                <c:pt idx="43">
                  <c:v>2</c:v>
                </c:pt>
                <c:pt idx="44">
                  <c:v>1</c:v>
                </c:pt>
                <c:pt idx="45">
                  <c:v>1</c:v>
                </c:pt>
                <c:pt idx="46">
                  <c:v>1</c:v>
                </c:pt>
                <c:pt idx="47">
                  <c:v>1</c:v>
                </c:pt>
                <c:pt idx="48">
                  <c:v>1</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numCache>
            </c:numRef>
          </c:val>
          <c:smooth val="0"/>
          <c:extLst>
            <c:ext xmlns:c16="http://schemas.microsoft.com/office/drawing/2014/chart" uri="{C3380CC4-5D6E-409C-BE32-E72D297353CC}">
              <c16:uniqueId val="{00000001-AEA7-4026-9B61-F825784E01A7}"/>
            </c:ext>
          </c:extLst>
        </c:ser>
        <c:dLbls>
          <c:showLegendKey val="0"/>
          <c:showVal val="0"/>
          <c:showCatName val="0"/>
          <c:showSerName val="0"/>
          <c:showPercent val="0"/>
          <c:showBubbleSize val="0"/>
        </c:dLbls>
        <c:marker val="1"/>
        <c:smooth val="0"/>
        <c:axId val="356427648"/>
        <c:axId val="356429184"/>
      </c:lineChart>
      <c:scatterChart>
        <c:scatterStyle val="lineMarker"/>
        <c:varyColors val="0"/>
        <c:ser>
          <c:idx val="2"/>
          <c:order val="2"/>
          <c:tx>
            <c:strRef>
              <c:f>'Grafische Darstellung'!$AR$2</c:f>
              <c:strCache>
                <c:ptCount val="1"/>
                <c:pt idx="0">
                  <c:v>Höchster Peak (Normalstation)</c:v>
                </c:pt>
              </c:strCache>
            </c:strRef>
          </c:tx>
          <c:spPr>
            <a:ln w="25400" cap="rnd">
              <a:noFill/>
              <a:round/>
            </a:ln>
            <a:effectLst/>
          </c:spPr>
          <c:marker>
            <c:symbol val="diamond"/>
            <c:size val="10"/>
            <c:spPr>
              <a:solidFill>
                <a:srgbClr val="FF0000"/>
              </a:solidFill>
              <a:ln w="9525">
                <a:noFill/>
              </a:ln>
              <a:effectLst/>
            </c:spPr>
          </c:marker>
          <c:dLbls>
            <c:dLbl>
              <c:idx val="0"/>
              <c:tx>
                <c:rich>
                  <a:bodyPr/>
                  <a:lstStyle/>
                  <a:p>
                    <a:fld id="{87D5FF6C-32F9-42F1-8B04-CAA2FF485AF7}"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EA7-4026-9B61-F825784E0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Darstellung'!$AS$27</c:f>
              <c:numCache>
                <c:formatCode>m/d/yyyy</c:formatCode>
                <c:ptCount val="1"/>
                <c:pt idx="0">
                  <c:v>44343</c:v>
                </c:pt>
              </c:numCache>
            </c:numRef>
          </c:xVal>
          <c:yVal>
            <c:numRef>
              <c:f>'Grafische Darstellung'!$AS$26</c:f>
              <c:numCache>
                <c:formatCode>#,##0</c:formatCode>
                <c:ptCount val="1"/>
                <c:pt idx="0">
                  <c:v>45</c:v>
                </c:pt>
              </c:numCache>
            </c:numRef>
          </c:yVal>
          <c:smooth val="0"/>
          <c:extLst>
            <c:ext xmlns:c15="http://schemas.microsoft.com/office/drawing/2012/chart" uri="{02D57815-91ED-43cb-92C2-25804820EDAC}">
              <c15:datalabelsRange>
                <c15:f>'Grafische Darstellung'!$AU$26</c15:f>
                <c15:dlblRangeCache>
                  <c:ptCount val="1"/>
                  <c:pt idx="0">
                    <c:v>Peak: 45 am 27.05</c:v>
                  </c:pt>
                </c15:dlblRangeCache>
              </c15:datalabelsRange>
            </c:ext>
            <c:ext xmlns:c16="http://schemas.microsoft.com/office/drawing/2014/chart" uri="{C3380CC4-5D6E-409C-BE32-E72D297353CC}">
              <c16:uniqueId val="{00000003-AEA7-4026-9B61-F825784E01A7}"/>
            </c:ext>
          </c:extLst>
        </c:ser>
        <c:ser>
          <c:idx val="3"/>
          <c:order val="3"/>
          <c:tx>
            <c:strRef>
              <c:f>'Grafische Darstellung'!$AR$6</c:f>
              <c:strCache>
                <c:ptCount val="1"/>
                <c:pt idx="0">
                  <c:v>Höchster Peak (Intensivstation)</c:v>
                </c:pt>
              </c:strCache>
            </c:strRef>
          </c:tx>
          <c:spPr>
            <a:ln w="25400" cap="rnd">
              <a:noFill/>
              <a:round/>
            </a:ln>
            <a:effectLst/>
          </c:spPr>
          <c:marker>
            <c:symbol val="diamond"/>
            <c:size val="10"/>
            <c:spPr>
              <a:solidFill>
                <a:schemeClr val="accent4"/>
              </a:solidFill>
              <a:ln w="9525">
                <a:solidFill>
                  <a:schemeClr val="accent4"/>
                </a:solidFill>
              </a:ln>
              <a:effectLst/>
            </c:spPr>
          </c:marker>
          <c:dLbls>
            <c:dLbl>
              <c:idx val="0"/>
              <c:tx>
                <c:rich>
                  <a:bodyPr/>
                  <a:lstStyle/>
                  <a:p>
                    <a:fld id="{B53B860E-BDD3-4B8C-946F-672F42F96AAB}" type="CELLRANGE">
                      <a:rPr lang="en-US"/>
                      <a:pPr/>
                      <a:t>[ZELLBEREICH]</a:t>
                    </a:fld>
                    <a:endParaRPr lang="de-DE"/>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AEA7-4026-9B61-F825784E01A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'Grafische Darstellung'!$AS$31</c:f>
              <c:numCache>
                <c:formatCode>m/d/yyyy</c:formatCode>
                <c:ptCount val="1"/>
                <c:pt idx="0">
                  <c:v>44343</c:v>
                </c:pt>
              </c:numCache>
            </c:numRef>
          </c:xVal>
          <c:yVal>
            <c:numRef>
              <c:f>'Grafische Darstellung'!$AS$30</c:f>
              <c:numCache>
                <c:formatCode>General</c:formatCode>
                <c:ptCount val="1"/>
                <c:pt idx="0">
                  <c:v>21</c:v>
                </c:pt>
              </c:numCache>
            </c:numRef>
          </c:yVal>
          <c:smooth val="0"/>
          <c:extLst>
            <c:ext xmlns:c15="http://schemas.microsoft.com/office/drawing/2012/chart" uri="{02D57815-91ED-43cb-92C2-25804820EDAC}">
              <c15:datalabelsRange>
                <c15:f>'Grafische Darstellung'!$AU$30</c15:f>
                <c15:dlblRangeCache>
                  <c:ptCount val="1"/>
                  <c:pt idx="0">
                    <c:v>Peak: 21 am 27.05</c:v>
                  </c:pt>
                </c15:dlblRangeCache>
              </c15:datalabelsRange>
            </c:ext>
            <c:ext xmlns:c16="http://schemas.microsoft.com/office/drawing/2014/chart" uri="{C3380CC4-5D6E-409C-BE32-E72D297353CC}">
              <c16:uniqueId val="{00000005-AEA7-4026-9B61-F825784E01A7}"/>
            </c:ext>
          </c:extLst>
        </c:ser>
        <c:dLbls>
          <c:showLegendKey val="0"/>
          <c:showVal val="0"/>
          <c:showCatName val="0"/>
          <c:showSerName val="0"/>
          <c:showPercent val="0"/>
          <c:showBubbleSize val="0"/>
        </c:dLbls>
        <c:axId val="356444800"/>
        <c:axId val="356443264"/>
      </c:scatterChart>
      <c:dateAx>
        <c:axId val="356427648"/>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6429184"/>
        <c:crosses val="autoZero"/>
        <c:auto val="1"/>
        <c:lblOffset val="100"/>
        <c:baseTimeUnit val="days"/>
      </c:dateAx>
      <c:valAx>
        <c:axId val="35642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356427648"/>
        <c:crosses val="autoZero"/>
        <c:crossBetween val="between"/>
      </c:valAx>
      <c:valAx>
        <c:axId val="356443264"/>
        <c:scaling>
          <c:orientation val="minMax"/>
        </c:scaling>
        <c:delete val="1"/>
        <c:axPos val="r"/>
        <c:numFmt formatCode="#,##0" sourceLinked="1"/>
        <c:majorTickMark val="out"/>
        <c:minorTickMark val="none"/>
        <c:tickLblPos val="nextTo"/>
        <c:crossAx val="356444800"/>
        <c:crosses val="max"/>
        <c:crossBetween val="midCat"/>
      </c:valAx>
      <c:valAx>
        <c:axId val="356444800"/>
        <c:scaling>
          <c:orientation val="minMax"/>
        </c:scaling>
        <c:delete val="1"/>
        <c:axPos val="b"/>
        <c:numFmt formatCode="m/d/yyyy" sourceLinked="1"/>
        <c:majorTickMark val="out"/>
        <c:minorTickMark val="none"/>
        <c:tickLblPos val="nextTo"/>
        <c:crossAx val="356443264"/>
        <c:crosses val="autoZero"/>
        <c:crossBetween val="midCat"/>
      </c:valAx>
      <c:spPr>
        <a:noFill/>
        <a:ln>
          <a:noFill/>
        </a:ln>
        <a:effectLst/>
      </c:spPr>
    </c:plotArea>
    <c:legend>
      <c:legendPos val="b"/>
      <c:legendEntry>
        <c:idx val="2"/>
        <c:delete val="1"/>
      </c:legendEntry>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de-DE"/>
    </a:p>
  </c:txPr>
  <c:printSettings>
    <c:headerFooter/>
    <c:pageMargins b="0.78740157499999996" l="0.7" r="0.7" t="0.78740157499999996"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4</xdr:col>
      <xdr:colOff>899471</xdr:colOff>
      <xdr:row>3</xdr:row>
      <xdr:rowOff>83278</xdr:rowOff>
    </xdr:from>
    <xdr:to>
      <xdr:col>5</xdr:col>
      <xdr:colOff>717701</xdr:colOff>
      <xdr:row>6</xdr:row>
      <xdr:rowOff>26129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93307" y="607934"/>
          <a:ext cx="942493" cy="467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6896100</xdr:colOff>
      <xdr:row>0</xdr:row>
      <xdr:rowOff>50785</xdr:rowOff>
    </xdr:from>
    <xdr:to>
      <xdr:col>3</xdr:col>
      <xdr:colOff>7750484</xdr:colOff>
      <xdr:row>2</xdr:row>
      <xdr:rowOff>73819</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1700" y="50785"/>
          <a:ext cx="854384" cy="423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438542</xdr:colOff>
      <xdr:row>0</xdr:row>
      <xdr:rowOff>24507</xdr:rowOff>
    </xdr:from>
    <xdr:to>
      <xdr:col>15</xdr:col>
      <xdr:colOff>1319331</xdr:colOff>
      <xdr:row>2</xdr:row>
      <xdr:rowOff>100784</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46299" y="24507"/>
          <a:ext cx="880789" cy="4510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284814</xdr:colOff>
          <xdr:row>1</xdr:row>
          <xdr:rowOff>112426</xdr:rowOff>
        </xdr:from>
        <xdr:to>
          <xdr:col>1</xdr:col>
          <xdr:colOff>735862</xdr:colOff>
          <xdr:row>2</xdr:row>
          <xdr:rowOff>307298</xdr:rowOff>
        </xdr:to>
        <xdr:pic>
          <xdr:nvPicPr>
            <xdr:cNvPr id="5" name="Grafik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Stammdaten!$D$1" spid="_x0000_s12945"/>
                </a:ext>
              </a:extLst>
            </xdr:cNvPicPr>
          </xdr:nvPicPr>
          <xdr:blipFill>
            <a:blip xmlns:r="http://schemas.openxmlformats.org/officeDocument/2006/relationships" r:embed="rId1"/>
            <a:srcRect/>
            <a:stretch>
              <a:fillRect/>
            </a:stretch>
          </xdr:blipFill>
          <xdr:spPr bwMode="auto">
            <a:xfrm>
              <a:off x="3110460" y="112426"/>
              <a:ext cx="451048" cy="359764"/>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17</xdr:col>
      <xdr:colOff>307028</xdr:colOff>
      <xdr:row>0</xdr:row>
      <xdr:rowOff>86657</xdr:rowOff>
    </xdr:from>
    <xdr:to>
      <xdr:col>17</xdr:col>
      <xdr:colOff>1202214</xdr:colOff>
      <xdr:row>3</xdr:row>
      <xdr:rowOff>32031</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7797" y="86657"/>
          <a:ext cx="895186" cy="50524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55561</xdr:colOff>
      <xdr:row>14</xdr:row>
      <xdr:rowOff>25400</xdr:rowOff>
    </xdr:from>
    <xdr:to>
      <xdr:col>11</xdr:col>
      <xdr:colOff>736601</xdr:colOff>
      <xdr:row>58</xdr:row>
      <xdr:rowOff>133348</xdr:rowOff>
    </xdr:to>
    <xdr:graphicFrame macro="">
      <xdr:nvGraphicFramePr>
        <xdr:cNvPr id="2" name="Diagramm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25401</xdr:colOff>
      <xdr:row>14</xdr:row>
      <xdr:rowOff>59416</xdr:rowOff>
    </xdr:from>
    <xdr:to>
      <xdr:col>24</xdr:col>
      <xdr:colOff>749301</xdr:colOff>
      <xdr:row>58</xdr:row>
      <xdr:rowOff>168728</xdr:rowOff>
    </xdr:to>
    <xdr:graphicFrame macro="">
      <xdr:nvGraphicFramePr>
        <xdr:cNvPr id="3" name="Diagramm 2">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62864</xdr:colOff>
      <xdr:row>59</xdr:row>
      <xdr:rowOff>103642</xdr:rowOff>
    </xdr:from>
    <xdr:to>
      <xdr:col>37</xdr:col>
      <xdr:colOff>770164</xdr:colOff>
      <xdr:row>105</xdr:row>
      <xdr:rowOff>68036</xdr:rowOff>
    </xdr:to>
    <xdr:graphicFrame macro="">
      <xdr:nvGraphicFramePr>
        <xdr:cNvPr id="4" name="Diagramm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14627</xdr:colOff>
      <xdr:row>59</xdr:row>
      <xdr:rowOff>58057</xdr:rowOff>
    </xdr:from>
    <xdr:to>
      <xdr:col>24</xdr:col>
      <xdr:colOff>713559</xdr:colOff>
      <xdr:row>105</xdr:row>
      <xdr:rowOff>8617</xdr:rowOff>
    </xdr:to>
    <xdr:graphicFrame macro="">
      <xdr:nvGraphicFramePr>
        <xdr:cNvPr id="5" name="Diagramm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61913</xdr:colOff>
      <xdr:row>59</xdr:row>
      <xdr:rowOff>30161</xdr:rowOff>
    </xdr:from>
    <xdr:to>
      <xdr:col>11</xdr:col>
      <xdr:colOff>736600</xdr:colOff>
      <xdr:row>105</xdr:row>
      <xdr:rowOff>6349</xdr:rowOff>
    </xdr:to>
    <xdr:graphicFrame macro="">
      <xdr:nvGraphicFramePr>
        <xdr:cNvPr id="6" name="Diagramm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36</xdr:col>
      <xdr:colOff>580472</xdr:colOff>
      <xdr:row>0</xdr:row>
      <xdr:rowOff>168411</xdr:rowOff>
    </xdr:from>
    <xdr:to>
      <xdr:col>38</xdr:col>
      <xdr:colOff>1889</xdr:colOff>
      <xdr:row>4</xdr:row>
      <xdr:rowOff>9237</xdr:rowOff>
    </xdr:to>
    <xdr:pic>
      <xdr:nvPicPr>
        <xdr:cNvPr id="8" name="Grafik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6401386" y="331697"/>
          <a:ext cx="1010731" cy="526626"/>
        </a:xfrm>
        <a:prstGeom prst="rect">
          <a:avLst/>
        </a:prstGeom>
      </xdr:spPr>
    </xdr:pic>
    <xdr:clientData/>
  </xdr:twoCellAnchor>
  <xdr:twoCellAnchor>
    <xdr:from>
      <xdr:col>27</xdr:col>
      <xdr:colOff>52251</xdr:colOff>
      <xdr:row>14</xdr:row>
      <xdr:rowOff>76381</xdr:rowOff>
    </xdr:from>
    <xdr:to>
      <xdr:col>37</xdr:col>
      <xdr:colOff>743495</xdr:colOff>
      <xdr:row>59</xdr:row>
      <xdr:rowOff>38100</xdr:rowOff>
    </xdr:to>
    <xdr:graphicFrame macro="">
      <xdr:nvGraphicFramePr>
        <xdr:cNvPr id="9" name="Diagramm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877797</xdr:colOff>
      <xdr:row>1</xdr:row>
      <xdr:rowOff>72527</xdr:rowOff>
    </xdr:from>
    <xdr:to>
      <xdr:col>5</xdr:col>
      <xdr:colOff>717702</xdr:colOff>
      <xdr:row>3</xdr:row>
      <xdr:rowOff>182103</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39154" y="597183"/>
          <a:ext cx="964167" cy="470762"/>
        </a:xfrm>
        <a:prstGeom prst="rect">
          <a:avLst/>
        </a:prstGeom>
      </xdr:spPr>
    </xdr:pic>
    <xdr:clientData/>
  </xdr:twoCellAnchor>
  <xdr:twoCellAnchor editAs="oneCell">
    <xdr:from>
      <xdr:col>4</xdr:col>
      <xdr:colOff>877797</xdr:colOff>
      <xdr:row>1</xdr:row>
      <xdr:rowOff>72527</xdr:rowOff>
    </xdr:from>
    <xdr:to>
      <xdr:col>5</xdr:col>
      <xdr:colOff>717702</xdr:colOff>
      <xdr:row>3</xdr:row>
      <xdr:rowOff>182103</xdr:rowOff>
    </xdr:to>
    <xdr:pic>
      <xdr:nvPicPr>
        <xdr:cNvPr id="3" name="Grafi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261640" y="237419"/>
          <a:ext cx="964167" cy="476835"/>
        </a:xfrm>
        <a:prstGeom prst="rect">
          <a:avLst/>
        </a:prstGeom>
      </xdr:spPr>
    </xdr:pic>
    <xdr:clientData/>
  </xdr:twoCellAnchor>
</xdr:wsDr>
</file>

<file path=xl/theme/theme1.xml><?xml version="1.0" encoding="utf-8"?>
<a:theme xmlns:a="http://schemas.openxmlformats.org/drawingml/2006/main" name="Präsentation3">
  <a:themeElements>
    <a:clrScheme name="ZeQ-Farbskala">
      <a:dk1>
        <a:srgbClr val="000000"/>
      </a:dk1>
      <a:lt1>
        <a:srgbClr val="FFFFFF"/>
      </a:lt1>
      <a:dk2>
        <a:srgbClr val="288028"/>
      </a:dk2>
      <a:lt2>
        <a:srgbClr val="CBEFCB"/>
      </a:lt2>
      <a:accent1>
        <a:srgbClr val="002060"/>
      </a:accent1>
      <a:accent2>
        <a:srgbClr val="3F3F3F"/>
      </a:accent2>
      <a:accent3>
        <a:srgbClr val="FFCC00"/>
      </a:accent3>
      <a:accent4>
        <a:srgbClr val="991A36"/>
      </a:accent4>
      <a:accent5>
        <a:srgbClr val="000000"/>
      </a:accent5>
      <a:accent6>
        <a:srgbClr val="FFFFFF"/>
      </a:accent6>
      <a:hlink>
        <a:srgbClr val="288028"/>
      </a:hlink>
      <a:folHlink>
        <a:srgbClr val="CAEFCA"/>
      </a:folHlink>
    </a:clrScheme>
    <a:fontScheme name="ZeQ-Schrift">
      <a:majorFont>
        <a:latin typeface="Arial"/>
        <a:ea typeface=""/>
        <a:cs typeface=""/>
      </a:majorFont>
      <a:minorFont>
        <a:latin typeface="Arial"/>
        <a:ea typeface=""/>
        <a:cs typeface=""/>
      </a:minorFont>
    </a:fontScheme>
    <a:fmtScheme name="Phoebe">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chemeClr val="tx1"/>
          </a:solidFill>
          <a:prstDash val="solid"/>
          <a:round/>
          <a:headEnd type="none" w="med" len="med"/>
          <a:tailEnd type="none" w="med" len="med"/>
        </a:ln>
        <a:effectLst/>
      </a:spPr>
      <a:bodyPr vert="horz" wrap="square" lIns="54000" tIns="45720" rIns="0" bIns="36000" numCol="1" anchor="ctr" anchorCtr="0" compatLnSpc="1">
        <a:prstTxWarp prst="textNoShape">
          <a:avLst/>
        </a:prstTxWarp>
      </a:bodyPr>
      <a:lstStyle>
        <a:defPPr marL="274638" marR="0" indent="-274638" algn="ctr" defTabSz="914400" rtl="0" eaLnBrk="0" fontAlgn="base" latinLnBrk="0" hangingPunct="0">
          <a:lnSpc>
            <a:spcPct val="90000"/>
          </a:lnSpc>
          <a:spcBef>
            <a:spcPct val="50000"/>
          </a:spcBef>
          <a:spcAft>
            <a:spcPct val="0"/>
          </a:spcAft>
          <a:buClrTx/>
          <a:buSzTx/>
          <a:buFont typeface="Wingdings" pitchFamily="2" charset="2"/>
          <a:buNone/>
          <a:tabLst/>
          <a:defRPr kumimoji="0" lang="de-DE" sz="16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noFill/>
        <a:ln w="12700" cap="flat" cmpd="sng" algn="ctr">
          <a:solidFill>
            <a:schemeClr val="tx1"/>
          </a:solidFill>
          <a:prstDash val="solid"/>
          <a:round/>
          <a:headEnd type="none" w="med" len="med"/>
          <a:tailEnd type="none" w="med" len="med"/>
        </a:ln>
        <a:effectLst/>
      </a:spPr>
      <a:bodyPr vert="horz" wrap="square" lIns="54000" tIns="45720" rIns="0" bIns="36000" numCol="1" anchor="ctr" anchorCtr="0" compatLnSpc="1">
        <a:prstTxWarp prst="textNoShape">
          <a:avLst/>
        </a:prstTxWarp>
      </a:bodyPr>
      <a:lstStyle>
        <a:defPPr marL="274638" marR="0" indent="-274638" algn="ctr" defTabSz="914400" rtl="0" eaLnBrk="0" fontAlgn="base" latinLnBrk="0" hangingPunct="0">
          <a:lnSpc>
            <a:spcPct val="90000"/>
          </a:lnSpc>
          <a:spcBef>
            <a:spcPct val="50000"/>
          </a:spcBef>
          <a:spcAft>
            <a:spcPct val="0"/>
          </a:spcAft>
          <a:buClrTx/>
          <a:buSzTx/>
          <a:buFont typeface="Wingdings" pitchFamily="2" charset="2"/>
          <a:buNone/>
          <a:tabLst/>
          <a:defRPr kumimoji="0" lang="de-DE" sz="1600" b="0" i="0" u="none" strike="noStrike" cap="none" normalizeH="0" baseline="0" smtClean="0">
            <a:ln>
              <a:noFill/>
            </a:ln>
            <a:solidFill>
              <a:schemeClr val="tx1"/>
            </a:solidFill>
            <a:effectLst/>
            <a:latin typeface="Arial" charset="0"/>
          </a:defRPr>
        </a:defPPr>
      </a:lstStyle>
    </a:lnDef>
  </a:objectDefaults>
  <a:extraClrSchemeLst>
    <a:extraClrScheme>
      <a:clrScheme name="Vorlage ZeQ 2009 1">
        <a:dk1>
          <a:srgbClr val="000000"/>
        </a:dk1>
        <a:lt1>
          <a:srgbClr val="FFFFFF"/>
        </a:lt1>
        <a:dk2>
          <a:srgbClr val="991A36"/>
        </a:dk2>
        <a:lt2>
          <a:srgbClr val="ACACAC"/>
        </a:lt2>
        <a:accent1>
          <a:srgbClr val="CCFFCC"/>
        </a:accent1>
        <a:accent2>
          <a:srgbClr val="288028"/>
        </a:accent2>
        <a:accent3>
          <a:srgbClr val="FFFFFF"/>
        </a:accent3>
        <a:accent4>
          <a:srgbClr val="000000"/>
        </a:accent4>
        <a:accent5>
          <a:srgbClr val="E2FFE2"/>
        </a:accent5>
        <a:accent6>
          <a:srgbClr val="237323"/>
        </a:accent6>
        <a:hlink>
          <a:srgbClr val="000099"/>
        </a:hlink>
        <a:folHlink>
          <a:srgbClr val="FFFF99"/>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qap.ecdc.europa.eu/public/extensions/COVID-19/COVID-19.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F68"/>
  <sheetViews>
    <sheetView showGridLines="0" zoomScale="90" zoomScaleNormal="90" workbookViewId="0">
      <selection activeCell="E23" sqref="E23"/>
    </sheetView>
  </sheetViews>
  <sheetFormatPr baseColWidth="10" defaultRowHeight="12.75" x14ac:dyDescent="0.2"/>
  <cols>
    <col min="1" max="1" width="2" customWidth="1"/>
    <col min="2" max="2" width="117.140625" customWidth="1"/>
    <col min="3" max="3" width="3.42578125" style="125" customWidth="1"/>
    <col min="4" max="5" width="16.7109375" customWidth="1"/>
    <col min="6" max="6" width="11.140625" customWidth="1"/>
    <col min="7" max="7" width="2.42578125" customWidth="1"/>
  </cols>
  <sheetData>
    <row r="1" spans="2:6" x14ac:dyDescent="0.2">
      <c r="F1" s="254" t="s">
        <v>120</v>
      </c>
    </row>
    <row r="2" spans="2:6" ht="15.75" x14ac:dyDescent="0.2">
      <c r="B2" s="149" t="str">
        <f>"Der ZEQ-Szenariorechner zum Strukturbedarf im Rahmen der COVID-19-Pandemie "&amp;E21</f>
        <v>Der ZEQ-Szenariorechner zum Strukturbedarf im Rahmen der COVID-19-Pandemie Version 5.1</v>
      </c>
      <c r="C2" s="121"/>
      <c r="F2" s="255"/>
    </row>
    <row r="3" spans="2:6" x14ac:dyDescent="0.2">
      <c r="F3" s="255"/>
    </row>
    <row r="4" spans="2:6" ht="13.5" x14ac:dyDescent="0.2">
      <c r="B4" s="257" t="str">
        <f>"Die dargestellten Strukturbedarfe beruhen auf aktuellen Erkenntnissen zum Ausbreitungs- und Krankheitsverlauf durch das Coronavirus (COVID-19). "&amp;"Alle Prognosen basieren auf einer mathematischen Modellierung auf Grundlage der bisherigen Fallzahlentwicklung in "&amp;Stammdaten!F16&amp;". Die dargestellten Strukturbedarfe dienen als Orientierungswert bei der Vorbereitung des "&amp;Stammdaten!F17&amp;" Gesundheitswesens auf die unmittelbaren Auswirkungen der Erkrankungswelle.  Abweichungen von der tatsächlichen Entwicklung sind bei einer solchen Modellierung naturgemäß nicht auszuschließen."</f>
        <v>Die dargestellten Strukturbedarfe beruhen auf aktuellen Erkenntnissen zum Ausbreitungs- und Krankheitsverlauf durch das Coronavirus (COVID-19). Alle Prognosen basieren auf einer mathematischen Modellierung auf Grundlage der bisherigen Fallzahlentwicklung in der Schweiz. Die dargestellten Strukturbedarfe dienen als Orientierungswert bei der Vorbereitung des Schweizer Gesundheitswesens auf die unmittelbaren Auswirkungen der Erkrankungswelle.  Abweichungen von der tatsächlichen Entwicklung sind bei einer solchen Modellierung naturgemäß nicht auszuschließen.</v>
      </c>
      <c r="C4" s="122"/>
    </row>
    <row r="5" spans="2:6" ht="13.5" x14ac:dyDescent="0.2">
      <c r="B5" s="258"/>
      <c r="C5" s="122"/>
    </row>
    <row r="6" spans="2:6" ht="13.5" x14ac:dyDescent="0.2">
      <c r="B6" s="258"/>
      <c r="C6" s="122"/>
    </row>
    <row r="7" spans="2:6" ht="13.5" x14ac:dyDescent="0.2">
      <c r="B7" s="258"/>
      <c r="C7" s="122"/>
    </row>
    <row r="8" spans="2:6" ht="13.5" x14ac:dyDescent="0.2">
      <c r="B8" s="258"/>
      <c r="C8" s="122"/>
      <c r="D8" s="256" t="s">
        <v>121</v>
      </c>
      <c r="E8" s="256"/>
      <c r="F8" s="256"/>
    </row>
    <row r="9" spans="2:6" ht="13.15" customHeight="1" x14ac:dyDescent="0.2">
      <c r="B9" s="259"/>
      <c r="C9" s="122"/>
      <c r="D9" s="256"/>
      <c r="E9" s="256"/>
      <c r="F9" s="256"/>
    </row>
    <row r="10" spans="2:6" ht="13.5" x14ac:dyDescent="0.2">
      <c r="B10" s="125"/>
      <c r="C10" s="122"/>
      <c r="D10" s="256"/>
      <c r="E10" s="256"/>
      <c r="F10" s="256"/>
    </row>
    <row r="11" spans="2:6" ht="27" x14ac:dyDescent="0.2">
      <c r="B11" s="182" t="s">
        <v>196</v>
      </c>
      <c r="C11" s="122"/>
      <c r="D11" s="256"/>
      <c r="E11" s="256"/>
      <c r="F11" s="256"/>
    </row>
    <row r="12" spans="2:6" ht="19.5" customHeight="1" x14ac:dyDescent="0.2">
      <c r="B12" s="125"/>
      <c r="C12" s="122"/>
      <c r="D12" s="256"/>
      <c r="E12" s="256"/>
      <c r="F12" s="256"/>
    </row>
    <row r="13" spans="2:6" ht="13.5" x14ac:dyDescent="0.2">
      <c r="B13" s="251" t="s">
        <v>92</v>
      </c>
      <c r="C13" s="122"/>
      <c r="D13" s="256"/>
      <c r="E13" s="256"/>
      <c r="F13" s="256"/>
    </row>
    <row r="14" spans="2:6" ht="20.65" customHeight="1" x14ac:dyDescent="0.2">
      <c r="B14" s="251"/>
      <c r="C14" s="123"/>
      <c r="D14" s="256"/>
      <c r="E14" s="256"/>
      <c r="F14" s="256"/>
    </row>
    <row r="15" spans="2:6" ht="14.85" customHeight="1" x14ac:dyDescent="0.2">
      <c r="B15" s="125"/>
      <c r="C15" s="123"/>
      <c r="D15" s="256"/>
      <c r="E15" s="256"/>
      <c r="F15" s="256"/>
    </row>
    <row r="16" spans="2:6" ht="14.85" customHeight="1" x14ac:dyDescent="0.2">
      <c r="B16" s="253" t="s">
        <v>159</v>
      </c>
      <c r="C16" s="123"/>
      <c r="D16" s="256"/>
      <c r="E16" s="256"/>
      <c r="F16" s="256"/>
    </row>
    <row r="17" spans="2:6" ht="14.85" customHeight="1" x14ac:dyDescent="0.2">
      <c r="B17" s="253"/>
      <c r="C17" s="123"/>
      <c r="D17" s="256"/>
      <c r="E17" s="256"/>
      <c r="F17" s="256"/>
    </row>
    <row r="18" spans="2:6" ht="14.85" customHeight="1" x14ac:dyDescent="0.2">
      <c r="B18" s="253"/>
      <c r="C18" s="123"/>
      <c r="D18" s="256"/>
      <c r="E18" s="256"/>
      <c r="F18" s="256"/>
    </row>
    <row r="19" spans="2:6" ht="14.85" customHeight="1" x14ac:dyDescent="0.2">
      <c r="B19" s="253"/>
      <c r="C19" s="123"/>
      <c r="D19" s="256"/>
      <c r="E19" s="256"/>
      <c r="F19" s="256"/>
    </row>
    <row r="20" spans="2:6" ht="14.85" customHeight="1" x14ac:dyDescent="0.2">
      <c r="B20" s="253"/>
      <c r="C20" s="123"/>
      <c r="D20" s="256"/>
      <c r="E20" s="256"/>
      <c r="F20" s="256"/>
    </row>
    <row r="21" spans="2:6" ht="14.25" x14ac:dyDescent="0.2">
      <c r="B21" s="253"/>
      <c r="C21" s="123"/>
      <c r="D21" s="36"/>
      <c r="E21" s="250" t="s">
        <v>282</v>
      </c>
      <c r="F21" s="250"/>
    </row>
    <row r="22" spans="2:6" ht="14.25" x14ac:dyDescent="0.2">
      <c r="B22" s="253"/>
      <c r="C22" s="123"/>
      <c r="D22" s="36"/>
      <c r="E22" s="252">
        <v>44342</v>
      </c>
      <c r="F22" s="252"/>
    </row>
    <row r="23" spans="2:6" ht="14.25" customHeight="1" thickBot="1" x14ac:dyDescent="0.25">
      <c r="B23" s="253"/>
      <c r="C23" s="123"/>
      <c r="D23" s="36"/>
      <c r="E23" s="36"/>
      <c r="F23" s="36"/>
    </row>
    <row r="24" spans="2:6" ht="22.9" customHeight="1" x14ac:dyDescent="0.2">
      <c r="B24" s="253"/>
      <c r="C24" s="123"/>
      <c r="D24" s="264" t="s">
        <v>180</v>
      </c>
      <c r="E24" s="265"/>
      <c r="F24" s="266"/>
    </row>
    <row r="25" spans="2:6" ht="14.85" customHeight="1" x14ac:dyDescent="0.2">
      <c r="B25" s="260" t="s">
        <v>154</v>
      </c>
      <c r="C25" s="123"/>
      <c r="D25" s="267"/>
      <c r="E25" s="268"/>
      <c r="F25" s="269"/>
    </row>
    <row r="26" spans="2:6" ht="14.85" customHeight="1" x14ac:dyDescent="0.2">
      <c r="B26" s="260"/>
      <c r="C26" s="123"/>
      <c r="D26" s="267"/>
      <c r="E26" s="268"/>
      <c r="F26" s="269"/>
    </row>
    <row r="27" spans="2:6" ht="14.85" customHeight="1" x14ac:dyDescent="0.2">
      <c r="B27" s="260"/>
      <c r="C27" s="123"/>
      <c r="D27" s="261" t="s">
        <v>179</v>
      </c>
      <c r="E27" s="262"/>
      <c r="F27" s="263"/>
    </row>
    <row r="28" spans="2:6" ht="14.85" customHeight="1" x14ac:dyDescent="0.2">
      <c r="B28" s="260"/>
      <c r="C28" s="123"/>
      <c r="D28" s="261"/>
      <c r="E28" s="262"/>
      <c r="F28" s="263"/>
    </row>
    <row r="29" spans="2:6" ht="14.85" customHeight="1" x14ac:dyDescent="0.2">
      <c r="B29" s="260"/>
      <c r="C29" s="123"/>
      <c r="D29" s="261" t="s">
        <v>181</v>
      </c>
      <c r="E29" s="262"/>
      <c r="F29" s="263"/>
    </row>
    <row r="30" spans="2:6" ht="13.15" customHeight="1" x14ac:dyDescent="0.2">
      <c r="B30" s="260"/>
      <c r="C30" s="123"/>
      <c r="D30" s="261"/>
      <c r="E30" s="262"/>
      <c r="F30" s="263"/>
    </row>
    <row r="31" spans="2:6" ht="13.15" customHeight="1" x14ac:dyDescent="0.2">
      <c r="B31" s="260" t="s">
        <v>155</v>
      </c>
      <c r="C31" s="123"/>
      <c r="D31" s="261"/>
      <c r="E31" s="262"/>
      <c r="F31" s="263"/>
    </row>
    <row r="32" spans="2:6" ht="13.15" customHeight="1" x14ac:dyDescent="0.2">
      <c r="B32" s="260"/>
      <c r="C32" s="123"/>
      <c r="D32" s="261"/>
      <c r="E32" s="262"/>
      <c r="F32" s="263"/>
    </row>
    <row r="33" spans="2:6" ht="13.15" customHeight="1" x14ac:dyDescent="0.2">
      <c r="B33" s="260"/>
      <c r="C33" s="123"/>
      <c r="D33" s="261"/>
      <c r="E33" s="262"/>
      <c r="F33" s="263"/>
    </row>
    <row r="34" spans="2:6" ht="12.75" customHeight="1" x14ac:dyDescent="0.2">
      <c r="B34" s="260"/>
      <c r="C34" s="124"/>
      <c r="D34" s="261"/>
      <c r="E34" s="262"/>
      <c r="F34" s="263"/>
    </row>
    <row r="35" spans="2:6" ht="69.599999999999994" customHeight="1" thickBot="1" x14ac:dyDescent="0.25">
      <c r="B35" s="260"/>
      <c r="C35" s="124"/>
      <c r="D35" s="270"/>
      <c r="E35" s="271"/>
      <c r="F35" s="272"/>
    </row>
    <row r="36" spans="2:6" ht="84.4" customHeight="1" x14ac:dyDescent="0.2">
      <c r="B36" s="260"/>
      <c r="C36" s="124"/>
    </row>
    <row r="37" spans="2:6" ht="119.85" customHeight="1" x14ac:dyDescent="0.2">
      <c r="B37" s="36" t="s">
        <v>160</v>
      </c>
      <c r="C37" s="124"/>
    </row>
    <row r="38" spans="2:6" ht="172.35" customHeight="1" x14ac:dyDescent="0.2">
      <c r="B38" s="36" t="s">
        <v>156</v>
      </c>
      <c r="C38" s="124"/>
    </row>
    <row r="39" spans="2:6" ht="80.25" customHeight="1" x14ac:dyDescent="0.2">
      <c r="B39" s="36" t="s">
        <v>161</v>
      </c>
      <c r="C39" s="124"/>
    </row>
    <row r="40" spans="2:6" ht="172.5" thickBot="1" x14ac:dyDescent="0.25">
      <c r="B40" s="36" t="s">
        <v>157</v>
      </c>
      <c r="C40" s="124"/>
    </row>
    <row r="41" spans="2:6" ht="72" x14ac:dyDescent="0.2">
      <c r="B41" s="36" t="s">
        <v>158</v>
      </c>
      <c r="C41" s="87"/>
      <c r="D41" s="88"/>
    </row>
    <row r="42" spans="2:6" ht="13.5" thickBot="1" x14ac:dyDescent="0.25">
      <c r="C42" s="90"/>
      <c r="D42" s="91"/>
    </row>
    <row r="43" spans="2:6" ht="14.85" customHeight="1" x14ac:dyDescent="0.25">
      <c r="B43" s="146" t="s">
        <v>82</v>
      </c>
      <c r="C43" s="92"/>
      <c r="D43" s="93"/>
    </row>
    <row r="44" spans="2:6" ht="14.25" x14ac:dyDescent="0.2">
      <c r="B44" s="89"/>
      <c r="C44" s="92"/>
      <c r="D44" s="93"/>
    </row>
    <row r="45" spans="2:6" ht="12.95" customHeight="1" x14ac:dyDescent="0.2">
      <c r="B45" s="147" t="s">
        <v>52</v>
      </c>
      <c r="C45" s="170"/>
      <c r="D45" s="171"/>
    </row>
    <row r="46" spans="2:6" ht="12.95" customHeight="1" x14ac:dyDescent="0.2">
      <c r="B46" s="126"/>
      <c r="C46" s="170"/>
      <c r="D46" s="171"/>
    </row>
    <row r="47" spans="2:6" ht="12.75" customHeight="1" x14ac:dyDescent="0.2">
      <c r="B47" s="169" t="s">
        <v>54</v>
      </c>
      <c r="C47" s="167"/>
      <c r="D47" s="168"/>
    </row>
    <row r="48" spans="2:6" ht="12.75" customHeight="1" x14ac:dyDescent="0.2">
      <c r="B48" s="169"/>
      <c r="C48" s="167"/>
      <c r="D48" s="168"/>
    </row>
    <row r="49" spans="2:4" ht="14.85" customHeight="1" x14ac:dyDescent="0.2">
      <c r="B49" s="166" t="s">
        <v>81</v>
      </c>
      <c r="C49" s="167"/>
      <c r="D49" s="168"/>
    </row>
    <row r="50" spans="2:4" ht="14.25" x14ac:dyDescent="0.2">
      <c r="B50" s="166"/>
      <c r="C50" s="95"/>
      <c r="D50" s="96"/>
    </row>
    <row r="51" spans="2:4" ht="14.25" x14ac:dyDescent="0.2">
      <c r="B51" s="166"/>
      <c r="C51" s="92"/>
      <c r="D51" s="93"/>
    </row>
    <row r="52" spans="2:4" ht="14.25" x14ac:dyDescent="0.2">
      <c r="B52" s="94"/>
      <c r="C52" s="92"/>
      <c r="D52" s="93"/>
    </row>
    <row r="53" spans="2:4" ht="14.85" customHeight="1" x14ac:dyDescent="0.2">
      <c r="B53" s="148" t="s">
        <v>55</v>
      </c>
      <c r="C53" s="173"/>
      <c r="D53" s="97"/>
    </row>
    <row r="54" spans="2:4" ht="14.25" x14ac:dyDescent="0.2">
      <c r="B54" s="127"/>
      <c r="C54" s="173"/>
      <c r="D54" s="97"/>
    </row>
    <row r="55" spans="2:4" ht="57.75" x14ac:dyDescent="0.2">
      <c r="B55" s="172" t="s">
        <v>56</v>
      </c>
      <c r="C55" s="173"/>
      <c r="D55" s="97"/>
    </row>
    <row r="56" spans="2:4" ht="14.25" x14ac:dyDescent="0.2">
      <c r="B56" s="172"/>
      <c r="C56" s="173"/>
      <c r="D56" s="97"/>
    </row>
    <row r="57" spans="2:4" ht="14.25" x14ac:dyDescent="0.2">
      <c r="B57" s="172"/>
      <c r="C57" s="173"/>
      <c r="D57" s="97"/>
    </row>
    <row r="58" spans="2:4" ht="14.25" x14ac:dyDescent="0.2">
      <c r="B58" s="172"/>
      <c r="C58" s="129"/>
      <c r="D58" s="97"/>
    </row>
    <row r="59" spans="2:4" ht="14.85" customHeight="1" x14ac:dyDescent="0.2">
      <c r="B59" s="174" t="s">
        <v>99</v>
      </c>
      <c r="C59" s="173"/>
      <c r="D59" s="97"/>
    </row>
    <row r="60" spans="2:4" ht="14.25" x14ac:dyDescent="0.2">
      <c r="B60" s="128"/>
      <c r="C60" s="173"/>
      <c r="D60" s="97"/>
    </row>
    <row r="61" spans="2:4" ht="28.5" x14ac:dyDescent="0.2">
      <c r="B61" s="172" t="s">
        <v>53</v>
      </c>
      <c r="C61" s="90"/>
      <c r="D61" s="91"/>
    </row>
    <row r="62" spans="2:4" ht="12.95" customHeight="1" x14ac:dyDescent="0.2">
      <c r="B62" s="172"/>
      <c r="C62" s="167"/>
      <c r="D62" s="168"/>
    </row>
    <row r="63" spans="2:4" ht="12.95" customHeight="1" x14ac:dyDescent="0.2">
      <c r="B63" s="89"/>
      <c r="C63" s="167"/>
      <c r="D63" s="168"/>
    </row>
    <row r="64" spans="2:4" ht="12.95" customHeight="1" x14ac:dyDescent="0.2">
      <c r="B64" s="166" t="s">
        <v>80</v>
      </c>
      <c r="C64" s="167"/>
      <c r="D64" s="168"/>
    </row>
    <row r="65" spans="2:4" ht="36.6" customHeight="1" x14ac:dyDescent="0.2">
      <c r="B65" s="166"/>
      <c r="C65" s="167"/>
      <c r="D65" s="168"/>
    </row>
    <row r="66" spans="2:4" ht="15" thickBot="1" x14ac:dyDescent="0.25">
      <c r="B66" s="166"/>
      <c r="C66" s="99"/>
      <c r="D66" s="100"/>
    </row>
    <row r="67" spans="2:4" ht="14.25" x14ac:dyDescent="0.2">
      <c r="B67" s="166"/>
    </row>
    <row r="68" spans="2:4" ht="13.5" thickBot="1" x14ac:dyDescent="0.25">
      <c r="B68" s="98"/>
    </row>
  </sheetData>
  <mergeCells count="12">
    <mergeCell ref="B25:B30"/>
    <mergeCell ref="B31:B36"/>
    <mergeCell ref="D27:F28"/>
    <mergeCell ref="D24:F26"/>
    <mergeCell ref="D29:F35"/>
    <mergeCell ref="E21:F21"/>
    <mergeCell ref="B13:B14"/>
    <mergeCell ref="E22:F22"/>
    <mergeCell ref="B16:B24"/>
    <mergeCell ref="F1:F3"/>
    <mergeCell ref="D8:F20"/>
    <mergeCell ref="B4:B9"/>
  </mergeCells>
  <hyperlinks>
    <hyperlink ref="B59" r:id="rId1" xr:uid="{00000000-0004-0000-0000-000000000000}"/>
  </hyperlinks>
  <pageMargins left="0.7" right="0.7" top="0.78740157499999996" bottom="0.78740157499999996" header="0.3" footer="0.3"/>
  <pageSetup paperSize="9" scale="52" orientation="portrait" r:id="rId2"/>
  <drawing r:id="rId3"/>
  <extLst>
    <ext xmlns:x14="http://schemas.microsoft.com/office/spreadsheetml/2009/9/main" uri="{78C0D931-6437-407d-A8EE-F0AAD7539E65}">
      <x14:conditionalFormattings>
        <x14:conditionalFormatting xmlns:xm="http://schemas.microsoft.com/office/excel/2006/main">
          <x14:cfRule type="expression" priority="1" id="{84904345-8DDF-436B-BD5E-D5BA669D7300}">
            <xm:f>(Stammdaten!$B$1="Schweiz")</xm:f>
            <x14:dxf>
              <fill>
                <patternFill>
                  <bgColor rgb="FFFF0000"/>
                </patternFill>
              </fill>
              <border>
                <left/>
                <right/>
                <top/>
                <bottom/>
                <vertical/>
                <horizontal/>
              </border>
            </x14:dxf>
          </x14:cfRule>
          <xm:sqref>F1:F3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7" tint="0.59999389629810485"/>
    <pageSetUpPr fitToPage="1"/>
  </sheetPr>
  <dimension ref="A1:L45"/>
  <sheetViews>
    <sheetView showGridLines="0" zoomScale="90" zoomScaleNormal="90" workbookViewId="0">
      <selection activeCell="C9" sqref="C9"/>
    </sheetView>
  </sheetViews>
  <sheetFormatPr baseColWidth="10" defaultRowHeight="12.75" x14ac:dyDescent="0.2"/>
  <cols>
    <col min="2" max="2" width="54.42578125" customWidth="1"/>
    <col min="3" max="3" width="34.7109375" style="179" bestFit="1" customWidth="1"/>
    <col min="4" max="4" width="117.7109375" customWidth="1"/>
    <col min="5" max="10" width="11.5703125" style="35" customWidth="1"/>
    <col min="11" max="13" width="11.5703125" customWidth="1"/>
  </cols>
  <sheetData>
    <row r="1" spans="1:4" ht="15.75" x14ac:dyDescent="0.25">
      <c r="A1" s="197" t="s">
        <v>7</v>
      </c>
      <c r="B1" s="197"/>
      <c r="C1" s="201"/>
      <c r="D1" s="197"/>
    </row>
    <row r="2" spans="1:4" ht="15.75" x14ac:dyDescent="0.25">
      <c r="A2" s="37"/>
      <c r="B2" s="37"/>
      <c r="C2" s="202"/>
      <c r="D2" s="37"/>
    </row>
    <row r="4" spans="1:4" ht="15" x14ac:dyDescent="0.25">
      <c r="A4" s="198" t="s">
        <v>2</v>
      </c>
      <c r="B4" s="199"/>
      <c r="C4" s="203"/>
      <c r="D4" s="200"/>
    </row>
    <row r="5" spans="1:4" ht="15" x14ac:dyDescent="0.25">
      <c r="A5" s="273" t="s">
        <v>4</v>
      </c>
      <c r="B5" s="274"/>
      <c r="C5" s="204" t="s">
        <v>5</v>
      </c>
      <c r="D5" s="7" t="s">
        <v>6</v>
      </c>
    </row>
    <row r="6" spans="1:4" ht="14.25" x14ac:dyDescent="0.2">
      <c r="A6" s="275" t="s">
        <v>29</v>
      </c>
      <c r="B6" s="275"/>
      <c r="C6" s="38">
        <v>0.7</v>
      </c>
      <c r="D6" s="150"/>
    </row>
    <row r="7" spans="1:4" ht="14.25" x14ac:dyDescent="0.2">
      <c r="A7" s="275" t="s">
        <v>162</v>
      </c>
      <c r="B7" s="275"/>
      <c r="C7" s="38">
        <v>0.55000000000000004</v>
      </c>
      <c r="D7" s="150" t="s">
        <v>251</v>
      </c>
    </row>
    <row r="8" spans="1:4" ht="14.25" x14ac:dyDescent="0.2">
      <c r="A8" s="275" t="s">
        <v>1</v>
      </c>
      <c r="B8" s="275"/>
      <c r="C8" s="38">
        <v>0.14000000000000001</v>
      </c>
      <c r="D8" s="243" t="s">
        <v>263</v>
      </c>
    </row>
    <row r="9" spans="1:4" ht="14.25" x14ac:dyDescent="0.2">
      <c r="A9" s="275" t="s">
        <v>199</v>
      </c>
      <c r="B9" s="275"/>
      <c r="C9" s="165">
        <f>8%*C8</f>
        <v>1.1200000000000002E-2</v>
      </c>
      <c r="D9" s="8" t="s">
        <v>264</v>
      </c>
    </row>
    <row r="10" spans="1:4" ht="14.25" x14ac:dyDescent="0.2">
      <c r="A10" s="275" t="s">
        <v>182</v>
      </c>
      <c r="B10" s="275"/>
      <c r="C10" s="165">
        <f>49%*C9</f>
        <v>5.4880000000000007E-3</v>
      </c>
      <c r="D10" s="175" t="s">
        <v>262</v>
      </c>
    </row>
    <row r="11" spans="1:4" ht="14.25" x14ac:dyDescent="0.2">
      <c r="B11" s="20" t="s">
        <v>11</v>
      </c>
      <c r="C11" s="205">
        <f>C10*C9</f>
        <v>6.146560000000001E-5</v>
      </c>
      <c r="D11" s="21" t="s">
        <v>10</v>
      </c>
    </row>
    <row r="12" spans="1:4" ht="15" x14ac:dyDescent="0.25">
      <c r="A12" s="198" t="s">
        <v>3</v>
      </c>
      <c r="B12" s="199"/>
      <c r="C12" s="203"/>
      <c r="D12" s="200"/>
    </row>
    <row r="13" spans="1:4" ht="15" x14ac:dyDescent="0.25">
      <c r="A13" s="279" t="s">
        <v>4</v>
      </c>
      <c r="B13" s="279"/>
      <c r="C13" s="204" t="s">
        <v>5</v>
      </c>
      <c r="D13" s="7" t="s">
        <v>6</v>
      </c>
    </row>
    <row r="14" spans="1:4" ht="14.25" x14ac:dyDescent="0.2">
      <c r="A14" s="275" t="s">
        <v>221</v>
      </c>
      <c r="B14" s="275"/>
      <c r="C14" s="39">
        <v>7</v>
      </c>
      <c r="D14" s="8" t="s">
        <v>14</v>
      </c>
    </row>
    <row r="15" spans="1:4" ht="14.25" x14ac:dyDescent="0.2">
      <c r="A15" s="275" t="s">
        <v>222</v>
      </c>
      <c r="B15" s="275"/>
      <c r="C15" s="39">
        <v>15</v>
      </c>
      <c r="D15" s="8"/>
    </row>
    <row r="16" spans="1:4" ht="14.25" x14ac:dyDescent="0.2">
      <c r="A16" s="275" t="s">
        <v>223</v>
      </c>
      <c r="B16" s="275"/>
      <c r="C16" s="39">
        <v>6</v>
      </c>
      <c r="D16" s="185"/>
    </row>
    <row r="17" spans="1:12" ht="14.25" x14ac:dyDescent="0.2">
      <c r="A17" s="275" t="s">
        <v>185</v>
      </c>
      <c r="B17" s="275"/>
      <c r="C17" s="39">
        <v>15</v>
      </c>
      <c r="D17" s="175"/>
    </row>
    <row r="19" spans="1:12" ht="15" x14ac:dyDescent="0.25">
      <c r="A19" s="198" t="s">
        <v>8</v>
      </c>
      <c r="B19" s="199"/>
      <c r="C19" s="203"/>
      <c r="D19" s="200"/>
    </row>
    <row r="20" spans="1:12" ht="15" x14ac:dyDescent="0.25">
      <c r="A20" s="279" t="s">
        <v>4</v>
      </c>
      <c r="B20" s="279"/>
      <c r="C20" s="204" t="s">
        <v>5</v>
      </c>
      <c r="D20" s="7" t="s">
        <v>6</v>
      </c>
    </row>
    <row r="21" spans="1:12" ht="14.25" x14ac:dyDescent="0.2">
      <c r="A21" s="31" t="s">
        <v>9</v>
      </c>
      <c r="B21" s="31"/>
      <c r="C21" s="39">
        <v>20</v>
      </c>
      <c r="D21" s="23" t="s">
        <v>12</v>
      </c>
    </row>
    <row r="23" spans="1:12" ht="15" x14ac:dyDescent="0.25">
      <c r="A23" s="198" t="s">
        <v>58</v>
      </c>
      <c r="B23" s="199"/>
      <c r="C23" s="203"/>
      <c r="D23" s="200"/>
    </row>
    <row r="24" spans="1:12" ht="15" x14ac:dyDescent="0.25">
      <c r="A24" s="279" t="s">
        <v>4</v>
      </c>
      <c r="B24" s="279"/>
      <c r="C24" s="204" t="s">
        <v>16</v>
      </c>
      <c r="D24" s="7" t="s">
        <v>83</v>
      </c>
    </row>
    <row r="25" spans="1:12" ht="15" customHeight="1" x14ac:dyDescent="0.2">
      <c r="A25" s="280" t="s">
        <v>15</v>
      </c>
      <c r="B25" s="22" t="s">
        <v>18</v>
      </c>
      <c r="C25" s="40">
        <v>6</v>
      </c>
      <c r="D25" s="23"/>
      <c r="K25" s="81"/>
      <c r="L25" s="81"/>
    </row>
    <row r="26" spans="1:12" ht="15" customHeight="1" x14ac:dyDescent="0.2">
      <c r="A26" s="280"/>
      <c r="B26" s="22" t="s">
        <v>19</v>
      </c>
      <c r="C26" s="40">
        <v>10</v>
      </c>
      <c r="D26" s="23"/>
      <c r="K26" s="81"/>
      <c r="L26" s="81"/>
    </row>
    <row r="27" spans="1:12" ht="15" customHeight="1" x14ac:dyDescent="0.2">
      <c r="A27" s="280"/>
      <c r="B27" s="3" t="s">
        <v>21</v>
      </c>
      <c r="C27" s="41" t="s">
        <v>22</v>
      </c>
      <c r="D27" s="34" t="s">
        <v>163</v>
      </c>
      <c r="E27" s="177">
        <f>IF(C27=J27,2,1)</f>
        <v>2</v>
      </c>
      <c r="F27" s="177">
        <f>IF(C27=J27,7.7,12)</f>
        <v>7.7</v>
      </c>
      <c r="G27" s="177">
        <f>IF(C27=J27,10,12)</f>
        <v>10</v>
      </c>
      <c r="H27" s="177"/>
      <c r="I27" s="177"/>
      <c r="J27" s="177" t="s">
        <v>22</v>
      </c>
      <c r="K27" s="81"/>
      <c r="L27" s="81"/>
    </row>
    <row r="28" spans="1:12" ht="15" customHeight="1" x14ac:dyDescent="0.2">
      <c r="A28" s="276" t="s">
        <v>17</v>
      </c>
      <c r="B28" s="32" t="s">
        <v>18</v>
      </c>
      <c r="C28" s="40">
        <v>2.5</v>
      </c>
      <c r="D28" s="33"/>
      <c r="E28" s="177"/>
      <c r="H28" s="177"/>
      <c r="I28" s="177"/>
      <c r="J28" s="177" t="s">
        <v>183</v>
      </c>
      <c r="K28" s="81"/>
      <c r="L28" s="81"/>
    </row>
    <row r="29" spans="1:12" ht="15" customHeight="1" x14ac:dyDescent="0.2">
      <c r="A29" s="277"/>
      <c r="B29" s="32" t="s">
        <v>19</v>
      </c>
      <c r="C29" s="40">
        <v>3.5</v>
      </c>
      <c r="D29" s="33"/>
      <c r="E29" s="177"/>
      <c r="F29" s="177"/>
      <c r="G29" s="177"/>
      <c r="H29" s="177"/>
      <c r="I29" s="177"/>
      <c r="J29" s="177"/>
      <c r="K29" s="81"/>
      <c r="L29" s="81"/>
    </row>
    <row r="30" spans="1:12" ht="15" customHeight="1" x14ac:dyDescent="0.2">
      <c r="A30" s="278"/>
      <c r="B30" s="32" t="s">
        <v>21</v>
      </c>
      <c r="C30" s="41" t="s">
        <v>22</v>
      </c>
      <c r="D30" s="57" t="s">
        <v>163</v>
      </c>
      <c r="E30" s="177">
        <f>IF(C30=J27,2,1)</f>
        <v>2</v>
      </c>
      <c r="F30" s="177">
        <f>IF(C30=J27,7.7,10)</f>
        <v>7.7</v>
      </c>
      <c r="G30" s="177">
        <f>IF(C30=J27,9.5,12)</f>
        <v>9.5</v>
      </c>
      <c r="H30" s="177"/>
      <c r="I30" s="177"/>
      <c r="J30" s="177"/>
      <c r="K30" s="81"/>
      <c r="L30" s="81"/>
    </row>
    <row r="31" spans="1:12" x14ac:dyDescent="0.2">
      <c r="K31" s="81"/>
      <c r="L31" s="81"/>
    </row>
    <row r="32" spans="1:12" ht="15" x14ac:dyDescent="0.25">
      <c r="A32" s="198" t="s">
        <v>69</v>
      </c>
      <c r="B32" s="199"/>
      <c r="C32" s="203"/>
      <c r="D32" s="200"/>
      <c r="K32" s="81"/>
      <c r="L32" s="81"/>
    </row>
    <row r="33" spans="1:12" ht="15" x14ac:dyDescent="0.25">
      <c r="A33" s="279" t="s">
        <v>4</v>
      </c>
      <c r="B33" s="279"/>
      <c r="C33" s="204" t="s">
        <v>16</v>
      </c>
      <c r="D33" s="102" t="s">
        <v>6</v>
      </c>
      <c r="K33" s="81"/>
      <c r="L33" s="81"/>
    </row>
    <row r="34" spans="1:12" ht="15" customHeight="1" x14ac:dyDescent="0.2">
      <c r="A34" s="280" t="s">
        <v>15</v>
      </c>
      <c r="B34" s="22" t="s">
        <v>72</v>
      </c>
      <c r="C34" s="40">
        <v>24</v>
      </c>
      <c r="D34" s="23"/>
      <c r="K34" s="81"/>
      <c r="L34" s="81"/>
    </row>
    <row r="35" spans="1:12" ht="15" customHeight="1" x14ac:dyDescent="0.2">
      <c r="A35" s="280"/>
      <c r="B35" s="22" t="s">
        <v>71</v>
      </c>
      <c r="C35" s="40">
        <v>36</v>
      </c>
      <c r="D35" s="109"/>
      <c r="K35" s="81"/>
      <c r="L35" s="81"/>
    </row>
    <row r="36" spans="1:12" ht="15" customHeight="1" x14ac:dyDescent="0.2">
      <c r="A36" s="280"/>
      <c r="B36" s="3" t="s">
        <v>21</v>
      </c>
      <c r="C36" s="41" t="s">
        <v>59</v>
      </c>
      <c r="D36" s="34" t="s">
        <v>163</v>
      </c>
      <c r="E36" s="177">
        <f>IF(C36=J37,2,1)</f>
        <v>1</v>
      </c>
      <c r="F36" s="177">
        <f>IF(E36=2,8,12)</f>
        <v>12</v>
      </c>
      <c r="G36" s="177"/>
      <c r="H36" s="177"/>
      <c r="I36" s="177"/>
      <c r="K36" s="81"/>
      <c r="L36" s="81"/>
    </row>
    <row r="37" spans="1:12" ht="15" customHeight="1" x14ac:dyDescent="0.2">
      <c r="A37" s="276" t="s">
        <v>17</v>
      </c>
      <c r="B37" s="32" t="s">
        <v>60</v>
      </c>
      <c r="C37" s="41">
        <v>24</v>
      </c>
      <c r="D37" s="285" t="s">
        <v>73</v>
      </c>
      <c r="E37" s="177"/>
      <c r="F37" s="177"/>
      <c r="G37" s="177"/>
      <c r="H37" s="177"/>
      <c r="I37" s="177"/>
      <c r="J37" s="177" t="s">
        <v>184</v>
      </c>
      <c r="K37" s="81"/>
      <c r="L37" s="81"/>
    </row>
    <row r="38" spans="1:12" ht="15" customHeight="1" x14ac:dyDescent="0.2">
      <c r="A38" s="277"/>
      <c r="B38" s="32" t="s">
        <v>61</v>
      </c>
      <c r="C38" s="40">
        <v>12</v>
      </c>
      <c r="D38" s="286"/>
      <c r="E38" s="177"/>
      <c r="H38" s="177"/>
      <c r="I38" s="177"/>
      <c r="J38" s="177" t="s">
        <v>183</v>
      </c>
      <c r="K38" s="81"/>
      <c r="L38" s="81"/>
    </row>
    <row r="39" spans="1:12" ht="15" customHeight="1" x14ac:dyDescent="0.2">
      <c r="A39" s="278"/>
      <c r="B39" s="32" t="s">
        <v>21</v>
      </c>
      <c r="C39" s="41" t="s">
        <v>59</v>
      </c>
      <c r="D39" s="57" t="s">
        <v>163</v>
      </c>
      <c r="E39" s="177">
        <f>IF(C39=J37,3,2)</f>
        <v>2</v>
      </c>
      <c r="F39" s="177"/>
      <c r="G39" s="177"/>
      <c r="H39" s="177"/>
      <c r="I39" s="177"/>
      <c r="J39" s="177"/>
      <c r="K39" s="81"/>
      <c r="L39" s="81"/>
    </row>
    <row r="40" spans="1:12" ht="14.85" customHeight="1" x14ac:dyDescent="0.2">
      <c r="A40" s="281" t="s">
        <v>198</v>
      </c>
      <c r="B40" s="281"/>
      <c r="C40" s="282">
        <v>0.64</v>
      </c>
      <c r="D40" s="284" t="s">
        <v>64</v>
      </c>
      <c r="K40" s="81"/>
      <c r="L40" s="81"/>
    </row>
    <row r="41" spans="1:12" ht="26.25" customHeight="1" x14ac:dyDescent="0.2">
      <c r="A41" s="281"/>
      <c r="B41" s="281"/>
      <c r="C41" s="283"/>
      <c r="D41" s="284"/>
      <c r="K41" s="81"/>
      <c r="L41" s="81"/>
    </row>
    <row r="43" spans="1:12" ht="15" x14ac:dyDescent="0.25">
      <c r="A43" s="198" t="s">
        <v>254</v>
      </c>
      <c r="B43" s="199"/>
      <c r="C43" s="203"/>
      <c r="D43" s="200"/>
    </row>
    <row r="44" spans="1:12" ht="15" x14ac:dyDescent="0.25">
      <c r="A44" s="273" t="s">
        <v>4</v>
      </c>
      <c r="B44" s="274"/>
      <c r="C44" s="204" t="s">
        <v>5</v>
      </c>
      <c r="D44" s="225" t="s">
        <v>6</v>
      </c>
    </row>
    <row r="45" spans="1:12" ht="14.25" x14ac:dyDescent="0.2">
      <c r="A45" s="275" t="s">
        <v>255</v>
      </c>
      <c r="B45" s="275"/>
      <c r="C45" s="228">
        <v>44030</v>
      </c>
      <c r="D45" s="224"/>
    </row>
  </sheetData>
  <sheetProtection password="8C78" sheet="1" objects="1" scenarios="1"/>
  <mergeCells count="24">
    <mergeCell ref="A10:B10"/>
    <mergeCell ref="A40:B41"/>
    <mergeCell ref="C40:C41"/>
    <mergeCell ref="D40:D41"/>
    <mergeCell ref="A33:B33"/>
    <mergeCell ref="A34:A36"/>
    <mergeCell ref="A37:A39"/>
    <mergeCell ref="D37:D38"/>
    <mergeCell ref="A44:B44"/>
    <mergeCell ref="A45:B45"/>
    <mergeCell ref="A5:B5"/>
    <mergeCell ref="A7:B7"/>
    <mergeCell ref="A6:B6"/>
    <mergeCell ref="A16:B16"/>
    <mergeCell ref="A28:A30"/>
    <mergeCell ref="A24:B24"/>
    <mergeCell ref="A20:B20"/>
    <mergeCell ref="A25:A27"/>
    <mergeCell ref="A14:B14"/>
    <mergeCell ref="A15:B15"/>
    <mergeCell ref="A17:B17"/>
    <mergeCell ref="A13:B13"/>
    <mergeCell ref="A8:B8"/>
    <mergeCell ref="A9:B9"/>
  </mergeCells>
  <dataValidations count="2">
    <dataValidation type="list" allowBlank="1" showInputMessage="1" showErrorMessage="1" sqref="C27 C30" xr:uid="{00000000-0002-0000-0100-000000000000}">
      <formula1>$J$27:$J$28</formula1>
    </dataValidation>
    <dataValidation type="list" allowBlank="1" showInputMessage="1" showErrorMessage="1" sqref="C39 C36" xr:uid="{00000000-0002-0000-0100-000001000000}">
      <formula1>$J$37:$J$38</formula1>
    </dataValidation>
  </dataValidations>
  <pageMargins left="0.7" right="0.7" top="0.78740157499999996" bottom="0.78740157499999996"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pageSetUpPr fitToPage="1"/>
  </sheetPr>
  <dimension ref="A1:AD19"/>
  <sheetViews>
    <sheetView showGridLines="0" zoomScale="94" zoomScaleNormal="94" zoomScaleSheetLayoutView="70" zoomScalePageLayoutView="30" workbookViewId="0">
      <selection activeCell="C10" sqref="C10:F10"/>
    </sheetView>
  </sheetViews>
  <sheetFormatPr baseColWidth="10" defaultColWidth="11.42578125" defaultRowHeight="14.25" x14ac:dyDescent="0.2"/>
  <cols>
    <col min="1" max="1" width="22" style="1" customWidth="1"/>
    <col min="2" max="2" width="7" style="1" customWidth="1"/>
    <col min="3" max="3" width="18.28515625" style="195" customWidth="1"/>
    <col min="4" max="4" width="1.85546875" style="196" customWidth="1"/>
    <col min="5" max="5" width="1.28515625" style="195" customWidth="1"/>
    <col min="6" max="6" width="12.7109375" style="195" customWidth="1"/>
    <col min="7" max="7" width="16.140625" style="1" customWidth="1"/>
    <col min="8" max="8" width="21" style="1" customWidth="1"/>
    <col min="9" max="9" width="22.28515625" style="1" customWidth="1"/>
    <col min="10" max="10" width="21" style="1" customWidth="1"/>
    <col min="11" max="11" width="1.28515625" style="1" customWidth="1"/>
    <col min="12" max="12" width="7.5703125" style="1" customWidth="1"/>
    <col min="13" max="13" width="5.7109375" style="1" customWidth="1"/>
    <col min="14" max="14" width="28.28515625" style="1" customWidth="1"/>
    <col min="15" max="15" width="10.7109375" style="1" customWidth="1"/>
    <col min="16" max="16" width="20" style="1" customWidth="1"/>
    <col min="17" max="17" width="2.140625" style="245" customWidth="1"/>
    <col min="18" max="18" width="21" style="42" customWidth="1"/>
    <col min="19" max="19" width="1.28515625" style="42" customWidth="1"/>
    <col min="20" max="20" width="3.42578125" style="230" customWidth="1"/>
    <col min="21" max="21" width="21.7109375" style="42" bestFit="1" customWidth="1"/>
    <col min="22" max="24" width="21.85546875" style="42" customWidth="1"/>
    <col min="25" max="26" width="19.5703125" style="42" customWidth="1"/>
    <col min="27" max="27" width="19.140625" style="42" customWidth="1"/>
    <col min="28" max="30" width="11.42578125" style="42"/>
    <col min="31" max="16384" width="11.42578125" style="1"/>
  </cols>
  <sheetData>
    <row r="1" spans="1:30" ht="5.85" customHeight="1" x14ac:dyDescent="0.25">
      <c r="B1" s="186"/>
      <c r="C1" s="190"/>
      <c r="D1" s="190"/>
      <c r="E1" s="190"/>
      <c r="F1" s="190"/>
      <c r="G1" s="186"/>
      <c r="H1" s="186"/>
      <c r="I1" s="186"/>
      <c r="J1" s="186"/>
      <c r="O1" s="254" t="s">
        <v>120</v>
      </c>
      <c r="S1" s="230"/>
      <c r="T1" s="42"/>
      <c r="U1" s="207" t="s">
        <v>111</v>
      </c>
      <c r="V1" s="207" t="s">
        <v>100</v>
      </c>
      <c r="W1" s="207" t="s">
        <v>112</v>
      </c>
      <c r="X1" s="207" t="s">
        <v>174</v>
      </c>
      <c r="Y1" s="207" t="s">
        <v>101</v>
      </c>
      <c r="Z1" s="207" t="s">
        <v>274</v>
      </c>
      <c r="AA1" s="207" t="s">
        <v>102</v>
      </c>
      <c r="AB1" s="207" t="s">
        <v>103</v>
      </c>
      <c r="AC1" s="207" t="s">
        <v>213</v>
      </c>
      <c r="AD1" s="207" t="s">
        <v>270</v>
      </c>
    </row>
    <row r="2" spans="1:30" s="188" customFormat="1" ht="24.75" customHeight="1" x14ac:dyDescent="0.2">
      <c r="A2" s="187" t="str">
        <f>"Covid-19-Szenario-Rechner für den Strukturbedarf in "&amp;_Krankenhäusern&amp;": Prognoseparameter"</f>
        <v>Covid-19-Szenario-Rechner für den Strukturbedarf in Spitälern: Prognoseparameter</v>
      </c>
      <c r="B2" s="187"/>
      <c r="C2" s="191"/>
      <c r="D2" s="191"/>
      <c r="E2" s="191"/>
      <c r="F2" s="191"/>
      <c r="G2" s="187"/>
      <c r="H2" s="187"/>
      <c r="I2" s="187"/>
      <c r="J2" s="187"/>
      <c r="O2" s="255"/>
      <c r="Q2" s="246"/>
      <c r="R2" s="189"/>
      <c r="S2" s="231"/>
      <c r="T2" s="189"/>
      <c r="U2" s="189"/>
      <c r="V2" s="189" t="s">
        <v>137</v>
      </c>
      <c r="W2" s="189" t="s">
        <v>113</v>
      </c>
      <c r="X2" s="232" t="s">
        <v>175</v>
      </c>
      <c r="Y2" s="189" t="s">
        <v>91</v>
      </c>
      <c r="Z2" s="42" t="str">
        <f>_Bundesweit&amp;": 7-Tage-Wachstumsrate"</f>
        <v>Schweizweit: 7-Tage-Wachstumsrate</v>
      </c>
      <c r="AA2" s="189" t="s">
        <v>78</v>
      </c>
      <c r="AB2" s="189" t="s">
        <v>104</v>
      </c>
      <c r="AC2" s="189" t="s">
        <v>268</v>
      </c>
      <c r="AD2" s="189" t="s">
        <v>272</v>
      </c>
    </row>
    <row r="3" spans="1:30" ht="14.85" customHeight="1" x14ac:dyDescent="0.2">
      <c r="A3" s="287">
        <f>'Beschreibung &amp; Aktualisierung'!E22</f>
        <v>44342</v>
      </c>
      <c r="B3" s="287"/>
      <c r="C3" s="192"/>
      <c r="D3" s="192"/>
      <c r="E3" s="192"/>
      <c r="F3" s="192"/>
      <c r="G3" s="58"/>
      <c r="O3" s="255"/>
      <c r="P3" s="130"/>
      <c r="S3" s="230"/>
      <c r="T3" s="42"/>
      <c r="V3" s="42" t="s">
        <v>140</v>
      </c>
      <c r="W3" s="42" t="s">
        <v>114</v>
      </c>
      <c r="X3" s="233" t="s">
        <v>176</v>
      </c>
      <c r="Y3" s="42" t="str">
        <f>_Bundesweit&amp;": Dynamische Wachstumsrate"</f>
        <v>Schweizweit: Dynamische Wachstumsrate</v>
      </c>
      <c r="Z3" s="42" t="str">
        <f>_Bundesweit&amp;": Reduzierte 7-Tage-Wachstumsrate"</f>
        <v>Schweizweit: Reduzierte 7-Tage-Wachstumsrate</v>
      </c>
      <c r="AA3" s="42" t="s">
        <v>115</v>
      </c>
      <c r="AB3" s="42" t="s">
        <v>105</v>
      </c>
      <c r="AC3" s="42" t="s">
        <v>269</v>
      </c>
      <c r="AD3" s="42" t="s">
        <v>271</v>
      </c>
    </row>
    <row r="4" spans="1:30" ht="14.85" customHeight="1" x14ac:dyDescent="0.2">
      <c r="A4" s="75"/>
      <c r="B4" s="75"/>
      <c r="C4" s="193"/>
      <c r="D4" s="193"/>
      <c r="E4" s="193"/>
      <c r="F4" s="193"/>
      <c r="G4" s="75"/>
      <c r="H4" s="75"/>
      <c r="I4" s="75"/>
      <c r="J4" s="75"/>
      <c r="K4" s="46"/>
      <c r="L4" s="46"/>
      <c r="M4" s="46"/>
      <c r="P4" s="130"/>
      <c r="Q4" s="247"/>
      <c r="R4" s="234"/>
      <c r="S4" s="234"/>
      <c r="T4" s="235"/>
      <c r="V4" s="42" t="s">
        <v>138</v>
      </c>
      <c r="W4" s="42" t="s">
        <v>139</v>
      </c>
      <c r="X4" s="233" t="s">
        <v>176</v>
      </c>
      <c r="Y4" s="42" t="str">
        <f>_Bundesweit&amp;": Halbierte dynamische Wachstumsrate"</f>
        <v>Schweizweit: Halbierte dynamische Wachstumsrate</v>
      </c>
      <c r="Z4" s="42" t="s">
        <v>275</v>
      </c>
      <c r="AA4" s="42" t="str">
        <f>"Hinterlegen Sie im Tabellenblatt "&amp;CHAR(34)&amp;"Fallzahlen (Berechnung)"&amp;CHAR(34)&amp;" den Fallzahlzuwachs für die letzten "&amp;Stammdaten!C7&amp;" bis "&amp;Stammdaten!C8&amp;" Tage oder wählen Sie eine andere Wachstumsrate!"</f>
        <v>Hinterlegen Sie im Tabellenblatt "Fallzahlen (Berechnung)" den Fallzahlzuwachs für die letzten vier bis sieben Tage oder wählen Sie eine andere Wachstumsrate!</v>
      </c>
      <c r="AC4" s="42" t="s">
        <v>214</v>
      </c>
      <c r="AD4" s="42" t="s">
        <v>273</v>
      </c>
    </row>
    <row r="5" spans="1:30" ht="14.85" customHeight="1" x14ac:dyDescent="0.2">
      <c r="A5" s="75"/>
      <c r="B5" s="75"/>
      <c r="C5" s="193"/>
      <c r="D5" s="193"/>
      <c r="E5" s="193"/>
      <c r="F5" s="193"/>
      <c r="G5" s="75"/>
      <c r="H5" s="75"/>
      <c r="I5" s="75"/>
      <c r="J5" s="75"/>
      <c r="K5" s="46"/>
      <c r="L5" s="46"/>
      <c r="M5" s="46"/>
      <c r="P5" s="131"/>
      <c r="Q5" s="247"/>
      <c r="R5" s="234"/>
      <c r="S5" s="234"/>
      <c r="T5" s="235"/>
      <c r="Y5" s="42" t="str">
        <f>_Bundesweit&amp;": Stabilisierte Wachstumsrate"</f>
        <v>Schweizweit: Stabilisierte Wachstumsrate</v>
      </c>
      <c r="Z5" s="42" t="s">
        <v>276</v>
      </c>
    </row>
    <row r="6" spans="1:30" ht="14.85" customHeight="1" x14ac:dyDescent="0.25">
      <c r="A6" s="113" t="s">
        <v>201</v>
      </c>
      <c r="B6" s="75"/>
      <c r="C6" s="193"/>
      <c r="D6" s="193"/>
      <c r="E6" s="193"/>
      <c r="F6" s="193"/>
      <c r="G6" s="75"/>
      <c r="H6" s="75"/>
      <c r="I6" s="75"/>
      <c r="J6" s="75"/>
      <c r="K6" s="46"/>
      <c r="L6" s="46"/>
      <c r="M6" s="46"/>
      <c r="O6" s="132"/>
      <c r="P6" s="133" t="s">
        <v>85</v>
      </c>
      <c r="Q6" s="247"/>
      <c r="R6" s="234"/>
      <c r="S6" s="234"/>
      <c r="T6" s="235"/>
      <c r="Y6" s="42" t="str">
        <f>_Bundesweit&amp;": Halbierte Stabilisierte Wachstumsrate"</f>
        <v>Schweizweit: Halbierte Stabilisierte Wachstumsrate</v>
      </c>
    </row>
    <row r="7" spans="1:30" ht="14.85" customHeight="1" x14ac:dyDescent="0.2">
      <c r="A7" s="134"/>
      <c r="B7" s="134"/>
      <c r="C7" s="194"/>
      <c r="D7" s="194"/>
      <c r="E7" s="194"/>
      <c r="F7" s="194"/>
      <c r="G7" s="134"/>
      <c r="H7" s="134"/>
      <c r="I7" s="134"/>
      <c r="J7" s="134"/>
      <c r="K7" s="123"/>
      <c r="L7" s="123"/>
      <c r="M7" s="123"/>
      <c r="N7" s="59"/>
      <c r="O7" s="352" t="s">
        <v>122</v>
      </c>
      <c r="P7" s="352"/>
      <c r="Q7" s="247"/>
      <c r="R7" s="234"/>
      <c r="S7" s="234"/>
      <c r="T7" s="235"/>
      <c r="Y7" s="42" t="s">
        <v>89</v>
      </c>
    </row>
    <row r="8" spans="1:30" ht="14.85" customHeight="1" x14ac:dyDescent="0.2">
      <c r="A8" s="319" t="s">
        <v>4</v>
      </c>
      <c r="B8" s="320"/>
      <c r="C8" s="321" t="s">
        <v>5</v>
      </c>
      <c r="D8" s="322"/>
      <c r="E8" s="322"/>
      <c r="F8" s="323"/>
      <c r="G8" s="135" t="s">
        <v>83</v>
      </c>
      <c r="H8" s="357" t="s">
        <v>47</v>
      </c>
      <c r="I8" s="358"/>
      <c r="J8" s="358"/>
      <c r="K8" s="358"/>
      <c r="L8" s="358"/>
      <c r="M8" s="358"/>
      <c r="N8" s="359"/>
      <c r="O8" s="352"/>
      <c r="P8" s="352"/>
      <c r="Q8" s="247"/>
      <c r="R8" s="234"/>
      <c r="S8" s="234"/>
      <c r="T8" s="235"/>
      <c r="Y8" s="42" t="s">
        <v>90</v>
      </c>
    </row>
    <row r="9" spans="1:30" ht="30.75" customHeight="1" x14ac:dyDescent="0.2">
      <c r="A9" s="288" t="s">
        <v>86</v>
      </c>
      <c r="B9" s="289"/>
      <c r="C9" s="324">
        <v>44342</v>
      </c>
      <c r="D9" s="325"/>
      <c r="E9" s="325"/>
      <c r="F9" s="326"/>
      <c r="G9" s="136" t="s">
        <v>84</v>
      </c>
      <c r="H9" s="350" t="s">
        <v>168</v>
      </c>
      <c r="I9" s="351"/>
      <c r="J9" s="351"/>
      <c r="K9" s="351"/>
      <c r="L9" s="351"/>
      <c r="M9" s="351"/>
      <c r="N9" s="360"/>
      <c r="O9" s="352"/>
      <c r="P9" s="352"/>
      <c r="Q9" s="247"/>
      <c r="R9" s="234"/>
      <c r="S9" s="234"/>
      <c r="T9" s="236"/>
      <c r="Y9" s="42" t="s">
        <v>93</v>
      </c>
    </row>
    <row r="10" spans="1:30" ht="29.65" customHeight="1" x14ac:dyDescent="0.2">
      <c r="A10" s="288" t="s">
        <v>27</v>
      </c>
      <c r="B10" s="289"/>
      <c r="C10" s="296">
        <v>8544527</v>
      </c>
      <c r="D10" s="297"/>
      <c r="E10" s="297"/>
      <c r="F10" s="298"/>
      <c r="G10" s="137" t="s">
        <v>84</v>
      </c>
      <c r="H10" s="354" t="s">
        <v>48</v>
      </c>
      <c r="I10" s="355"/>
      <c r="J10" s="355"/>
      <c r="K10" s="355"/>
      <c r="L10" s="355"/>
      <c r="M10" s="355"/>
      <c r="N10" s="356"/>
      <c r="O10" s="353"/>
      <c r="P10" s="353"/>
      <c r="Q10" s="247"/>
      <c r="R10" s="234"/>
      <c r="S10" s="234"/>
      <c r="T10" s="236"/>
      <c r="Y10" s="42" t="s">
        <v>94</v>
      </c>
    </row>
    <row r="11" spans="1:30" ht="30.75" customHeight="1" x14ac:dyDescent="0.2">
      <c r="A11" s="311" t="s">
        <v>178</v>
      </c>
      <c r="B11" s="312"/>
      <c r="C11" s="299" t="s">
        <v>137</v>
      </c>
      <c r="D11" s="300"/>
      <c r="E11" s="300"/>
      <c r="F11" s="301"/>
      <c r="G11" s="308" t="s">
        <v>283</v>
      </c>
      <c r="H11" s="346" t="s">
        <v>141</v>
      </c>
      <c r="I11" s="347"/>
      <c r="J11" s="317" t="str">
        <f>"Ausgangswert der Berechnung ist die "&amp;_bundesweite&amp;" Infiziertenzahl, heruntergerechnet auf die Einwohner im Einzugsgebiet."</f>
        <v>Ausgangswert der Berechnung ist die schweizweite Infiziertenzahl, heruntergerechnet auf die Einwohner im Einzugsgebiet.</v>
      </c>
      <c r="K11" s="317"/>
      <c r="L11" s="317"/>
      <c r="M11" s="317"/>
      <c r="N11" s="317"/>
      <c r="O11" s="317"/>
      <c r="P11" s="318"/>
      <c r="Q11" s="247"/>
      <c r="R11" s="234"/>
      <c r="S11" s="234"/>
      <c r="T11" s="237"/>
      <c r="U11" s="42" t="str">
        <f>VLOOKUP(_Ausgangswert,V:W,2,FALSE)</f>
        <v>Bevölkerungsanteil</v>
      </c>
    </row>
    <row r="12" spans="1:30" ht="30.75" customHeight="1" x14ac:dyDescent="0.2">
      <c r="A12" s="348"/>
      <c r="B12" s="349"/>
      <c r="C12" s="302"/>
      <c r="D12" s="303"/>
      <c r="E12" s="303"/>
      <c r="F12" s="304"/>
      <c r="G12" s="309"/>
      <c r="H12" s="346" t="s">
        <v>142</v>
      </c>
      <c r="I12" s="347"/>
      <c r="J12" s="317" t="s">
        <v>146</v>
      </c>
      <c r="K12" s="317"/>
      <c r="L12" s="317"/>
      <c r="M12" s="317"/>
      <c r="N12" s="317"/>
      <c r="O12" s="317"/>
      <c r="P12" s="318"/>
      <c r="Q12" s="247"/>
      <c r="R12" s="234"/>
      <c r="S12" s="234"/>
      <c r="T12" s="237"/>
    </row>
    <row r="13" spans="1:30" ht="30.75" customHeight="1" x14ac:dyDescent="0.2">
      <c r="A13" s="313"/>
      <c r="B13" s="314"/>
      <c r="C13" s="305"/>
      <c r="D13" s="306"/>
      <c r="E13" s="306"/>
      <c r="F13" s="307"/>
      <c r="G13" s="310"/>
      <c r="H13" s="350" t="s">
        <v>143</v>
      </c>
      <c r="I13" s="351"/>
      <c r="J13" s="317" t="s">
        <v>147</v>
      </c>
      <c r="K13" s="317"/>
      <c r="L13" s="317"/>
      <c r="M13" s="317"/>
      <c r="N13" s="317"/>
      <c r="O13" s="317"/>
      <c r="P13" s="318"/>
      <c r="Q13" s="247"/>
      <c r="R13" s="234"/>
      <c r="S13" s="234"/>
      <c r="T13" s="237"/>
      <c r="Y13" s="189"/>
      <c r="Z13" s="189"/>
    </row>
    <row r="14" spans="1:30" ht="46.15" customHeight="1" x14ac:dyDescent="0.2">
      <c r="A14" s="327" t="s">
        <v>88</v>
      </c>
      <c r="B14" s="328"/>
      <c r="C14" s="329"/>
      <c r="D14" s="330"/>
      <c r="E14" s="330"/>
      <c r="F14" s="331"/>
      <c r="G14" s="138" t="str">
        <f>IF($C$11=$V$3,"Wert eingeben","keine Eingabe")</f>
        <v>keine Eingabe</v>
      </c>
      <c r="H14" s="345" t="s">
        <v>148</v>
      </c>
      <c r="I14" s="317"/>
      <c r="J14" s="317"/>
      <c r="K14" s="317"/>
      <c r="L14" s="317"/>
      <c r="M14" s="317"/>
      <c r="N14" s="317"/>
      <c r="O14" s="317"/>
      <c r="P14" s="318"/>
      <c r="Q14" s="247"/>
      <c r="R14" s="234"/>
      <c r="S14" s="234"/>
      <c r="T14" s="237"/>
    </row>
    <row r="15" spans="1:30" ht="30.75" customHeight="1" x14ac:dyDescent="0.2">
      <c r="A15" s="311" t="s">
        <v>177</v>
      </c>
      <c r="B15" s="312"/>
      <c r="C15" s="339" t="s">
        <v>284</v>
      </c>
      <c r="D15" s="340"/>
      <c r="E15" s="340"/>
      <c r="F15" s="341"/>
      <c r="G15" s="308" t="s">
        <v>283</v>
      </c>
      <c r="H15" s="335">
        <f>IF(AND(_AusgangswertKURZ="Regionaler Ausgangswert",C14=""),AA2,
IF(AND(_AusgangswertKURZ="Gebietsbezogene FZ",ISERROR(_WR),VLOOKUP(_Datum+1,'Fallzahlen (Berechnung)'!D:H,'Fallzahlen (Berechnung)'!$G$1,FALSE)=0.000001),AA3,IF(AND(_WachstumsrateKURZ="Gebietsbezogen",ISERROR(_WR),VLOOKUP(_Datum+1,'Fallzahlen (Berechnung)'!D:H,'Fallzahlen (Berechnung)'!$G$1,FALSE)=0.000001),AA4,_WR)))</f>
        <v>1.0544150574582911E-3</v>
      </c>
      <c r="I15" s="336"/>
      <c r="J15" s="315" t="s">
        <v>144</v>
      </c>
      <c r="K15" s="316"/>
      <c r="L15" s="316"/>
      <c r="M15" s="317" t="str">
        <f>"Prognose auf Basis der Fallzahlentwicklung der letzten "&amp;Stammdaten!C7&amp;" Tage."</f>
        <v>Prognose auf Basis der Fallzahlentwicklung der letzten vier Tage.</v>
      </c>
      <c r="N15" s="317"/>
      <c r="O15" s="317"/>
      <c r="P15" s="318"/>
      <c r="Q15" s="247"/>
      <c r="R15" s="234"/>
      <c r="S15" s="234"/>
      <c r="T15" s="237"/>
      <c r="U15" s="42" t="str">
        <f>IF(LEFT(_Wachstumsrate,1)="G","Gebietsbezogen",IF(LEFT(_Wachstumsrate,10)=LEFT(_Bundesweit,10),"Bundesweit",10%))</f>
        <v>Bundesweit</v>
      </c>
    </row>
    <row r="16" spans="1:30" ht="39" customHeight="1" x14ac:dyDescent="0.2">
      <c r="A16" s="313"/>
      <c r="B16" s="314"/>
      <c r="C16" s="342"/>
      <c r="D16" s="343"/>
      <c r="E16" s="343"/>
      <c r="F16" s="344"/>
      <c r="G16" s="310"/>
      <c r="H16" s="337"/>
      <c r="I16" s="338"/>
      <c r="J16" s="315" t="s">
        <v>145</v>
      </c>
      <c r="K16" s="316"/>
      <c r="L16" s="316"/>
      <c r="M16" s="317" t="str">
        <f>"Prognose auf Basis der Fallzahlentwicklung der letzten "&amp;Stammdaten!C8&amp;" Tage. Diese Methodik gleicht Unterschiede in den Zuwächsen pro Wochentag stärker aus."</f>
        <v>Prognose auf Basis der Fallzahlentwicklung der letzten sieben Tage. Diese Methodik gleicht Unterschiede in den Zuwächsen pro Wochentag stärker aus.</v>
      </c>
      <c r="N16" s="317"/>
      <c r="O16" s="317"/>
      <c r="P16" s="318"/>
      <c r="Q16" s="247"/>
      <c r="R16" s="234"/>
      <c r="S16" s="234"/>
      <c r="T16" s="238">
        <f>1+ISNUMBER(SEARCH("Halbierte",_Wachstumsrate)*1)+ISNUMBER(SEARCH("Reduzierte",_Wachstumsrate))*1</f>
        <v>1</v>
      </c>
      <c r="U16" s="233">
        <f>IF(ISERROR(SEARCH("Dynamische",_Wachstumsrate,1)),_StabWR,_DynWR)</f>
        <v>4</v>
      </c>
    </row>
    <row r="17" spans="1:21" ht="30.75" customHeight="1" x14ac:dyDescent="0.2">
      <c r="A17" s="288" t="str">
        <f>"Relevanter Anteil für das betrachtete "&amp;_Krankenhaus</f>
        <v>Relevanter Anteil für das betrachtete Spital</v>
      </c>
      <c r="B17" s="289"/>
      <c r="C17" s="290">
        <v>1</v>
      </c>
      <c r="D17" s="291"/>
      <c r="E17" s="291"/>
      <c r="F17" s="292"/>
      <c r="G17" s="139" t="s">
        <v>84</v>
      </c>
      <c r="H17" s="293" t="s">
        <v>49</v>
      </c>
      <c r="I17" s="294"/>
      <c r="J17" s="294"/>
      <c r="K17" s="294"/>
      <c r="L17" s="294"/>
      <c r="M17" s="294"/>
      <c r="N17" s="294"/>
      <c r="O17" s="294"/>
      <c r="P17" s="295"/>
      <c r="Q17" s="247"/>
      <c r="R17" s="234"/>
      <c r="S17" s="234"/>
      <c r="T17" s="237"/>
    </row>
    <row r="18" spans="1:21" ht="72.599999999999994" customHeight="1" x14ac:dyDescent="0.2">
      <c r="A18" s="332" t="s">
        <v>212</v>
      </c>
      <c r="B18" s="332"/>
      <c r="C18" s="290" t="s">
        <v>269</v>
      </c>
      <c r="D18" s="291"/>
      <c r="E18" s="291"/>
      <c r="F18" s="292"/>
      <c r="G18" s="248" t="s">
        <v>283</v>
      </c>
      <c r="H18" s="333" t="s">
        <v>277</v>
      </c>
      <c r="I18" s="334"/>
      <c r="J18" s="334"/>
      <c r="K18" s="334"/>
      <c r="L18" s="334"/>
      <c r="M18" s="334"/>
      <c r="N18" s="334"/>
      <c r="O18" s="334"/>
      <c r="P18" s="334"/>
      <c r="S18" s="234"/>
      <c r="T18" s="237"/>
      <c r="U18" s="42" t="str">
        <f>VLOOKUP(C18,$AC$1:$AD$4,2,FALSE)</f>
        <v>Neuinf</v>
      </c>
    </row>
    <row r="19" spans="1:21" ht="30.75" customHeight="1" x14ac:dyDescent="0.2">
      <c r="A19" s="332" t="s">
        <v>218</v>
      </c>
      <c r="B19" s="332"/>
      <c r="C19" s="291"/>
      <c r="D19" s="291"/>
      <c r="E19" s="291"/>
      <c r="F19" s="292"/>
      <c r="G19" s="139" t="s">
        <v>219</v>
      </c>
      <c r="H19" s="333" t="s">
        <v>220</v>
      </c>
      <c r="I19" s="334"/>
      <c r="J19" s="334"/>
      <c r="K19" s="334"/>
      <c r="L19" s="334"/>
      <c r="M19" s="334"/>
      <c r="N19" s="334"/>
      <c r="O19" s="334"/>
      <c r="P19" s="334"/>
      <c r="S19" s="234"/>
      <c r="T19" s="237"/>
    </row>
  </sheetData>
  <sheetProtection password="8C78" sheet="1" objects="1" scenarios="1"/>
  <mergeCells count="41">
    <mergeCell ref="A10:B10"/>
    <mergeCell ref="J12:P12"/>
    <mergeCell ref="H12:I12"/>
    <mergeCell ref="J11:P11"/>
    <mergeCell ref="H11:I11"/>
    <mergeCell ref="A11:B13"/>
    <mergeCell ref="J13:P13"/>
    <mergeCell ref="H13:I13"/>
    <mergeCell ref="O7:P10"/>
    <mergeCell ref="H10:N10"/>
    <mergeCell ref="H8:N8"/>
    <mergeCell ref="H9:N9"/>
    <mergeCell ref="A14:B14"/>
    <mergeCell ref="C14:F14"/>
    <mergeCell ref="A19:B19"/>
    <mergeCell ref="C19:F19"/>
    <mergeCell ref="H19:P19"/>
    <mergeCell ref="A18:B18"/>
    <mergeCell ref="H18:P18"/>
    <mergeCell ref="C18:F18"/>
    <mergeCell ref="M16:P16"/>
    <mergeCell ref="H15:I16"/>
    <mergeCell ref="G15:G16"/>
    <mergeCell ref="C15:F16"/>
    <mergeCell ref="H14:P14"/>
    <mergeCell ref="O1:O3"/>
    <mergeCell ref="A3:B3"/>
    <mergeCell ref="A17:B17"/>
    <mergeCell ref="C17:F17"/>
    <mergeCell ref="H17:P17"/>
    <mergeCell ref="C10:F10"/>
    <mergeCell ref="C11:F13"/>
    <mergeCell ref="G11:G13"/>
    <mergeCell ref="A15:B16"/>
    <mergeCell ref="J15:L15"/>
    <mergeCell ref="M15:P15"/>
    <mergeCell ref="J16:L16"/>
    <mergeCell ref="A8:B8"/>
    <mergeCell ref="C8:F8"/>
    <mergeCell ref="A9:B9"/>
    <mergeCell ref="C9:F9"/>
  </mergeCells>
  <conditionalFormatting sqref="H15">
    <cfRule type="containsText" dxfId="31" priority="9" operator="containsText" text="Hinterlegen Sie gebietsbezogene Fallzahlen für die letzten 5 Tage!">
      <formula>NOT(ISERROR(SEARCH("Hinterlegen Sie gebietsbezogene Fallzahlen für die letzten 5 Tage!",H15)))</formula>
    </cfRule>
  </conditionalFormatting>
  <conditionalFormatting sqref="C11">
    <cfRule type="expression" dxfId="30" priority="76">
      <formula>$H$15=$AA$2</formula>
    </cfRule>
    <cfRule type="expression" dxfId="29" priority="77">
      <formula>$H$15=$AA$3</formula>
    </cfRule>
  </conditionalFormatting>
  <conditionalFormatting sqref="C15">
    <cfRule type="expression" dxfId="28" priority="78">
      <formula>$H$15=$AA$4</formula>
    </cfRule>
  </conditionalFormatting>
  <conditionalFormatting sqref="H15">
    <cfRule type="expression" dxfId="27" priority="79">
      <formula>OR($H$15=$AA$2,$H$15=$AA$3,$H$15=$AA$4)</formula>
    </cfRule>
  </conditionalFormatting>
  <conditionalFormatting sqref="C14">
    <cfRule type="expression" dxfId="26" priority="80">
      <formula>$C$11=$V$3</formula>
    </cfRule>
  </conditionalFormatting>
  <conditionalFormatting sqref="A14:P14">
    <cfRule type="expression" dxfId="25" priority="81">
      <formula>($C$11&lt;&gt;$V$3)</formula>
    </cfRule>
  </conditionalFormatting>
  <dataValidations count="3">
    <dataValidation type="list" allowBlank="1" showInputMessage="1" showErrorMessage="1" sqref="C15:F16" xr:uid="{00000000-0002-0000-0200-000000000000}">
      <formula1>IF(_Methodik="Neuinf",$Z$2:$Z$5,$Y$2:$Y$10)</formula1>
    </dataValidation>
    <dataValidation type="list" allowBlank="1" showInputMessage="1" showErrorMessage="1" sqref="C18" xr:uid="{00000000-0002-0000-0200-000001000000}">
      <formula1>$AC$2:$AC$4</formula1>
    </dataValidation>
    <dataValidation type="list" allowBlank="1" showInputMessage="1" showErrorMessage="1" sqref="C11:F13" xr:uid="{00000000-0002-0000-0200-000002000000}">
      <formula1>IF(_Methodik="Neuinf",$V$2:$V$3,$V$2:$V$4)</formula1>
    </dataValidation>
  </dataValidations>
  <pageMargins left="0.78740157480314965" right="0.78740157480314965" top="0.98425196850393704" bottom="0.98425196850393704" header="0.59055118110236227" footer="0.51181102362204722"/>
  <pageSetup paperSize="9" scale="35" orientation="landscape" r:id="rId1"/>
  <headerFooter alignWithMargins="0">
    <oddFooter>&amp;C_____________________________________________________________________________
www.zeq.de | info@zeq.de
&amp;R&amp;P</oddFooter>
  </headerFooter>
  <colBreaks count="1" manualBreakCount="1">
    <brk id="4"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CB873273-BD3F-4BBD-B6C9-A6DE2A542BF9}">
            <xm:f>(Stammdaten!$B$1="Schweiz")</xm:f>
            <x14:dxf>
              <fill>
                <patternFill>
                  <bgColor rgb="FFFF0000"/>
                </patternFill>
              </fill>
              <border>
                <left/>
                <right/>
                <top/>
                <bottom/>
                <vertical/>
                <horizontal/>
              </border>
            </x14:dxf>
          </x14:cfRule>
          <xm:sqref>O1:O3</xm:sqref>
        </x14:conditionalFormatting>
      </x14:conditionalFormattings>
    </ext>
    <ext xmlns:x14="http://schemas.microsoft.com/office/spreadsheetml/2009/9/main" uri="{CCE6A557-97BC-4b89-ADB6-D9C93CAAB3DF}">
      <x14:dataValidations xmlns:xm="http://schemas.microsoft.com/office/excel/2006/main" count="4">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3000000}">
          <x14:formula1>
            <xm:f>(E9&lt;=MAX('Fallzahlen (Berechnung)'!#REF!))</xm:f>
          </x14:formula1>
          <xm:sqref>E9</xm:sqref>
        </x14:dataValidation>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4000000}">
          <x14:formula1>
            <xm:f>(C9&lt;=MAX('Fallzahlen (Berechnung)'!N3:O3))</xm:f>
          </x14:formula1>
          <xm:sqref>C9</xm:sqref>
        </x14:dataValidation>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5000000}">
          <x14:formula1>
            <xm:f>(D9&lt;=MAX('Fallzahlen (Berechnung)'!O3:O3))</xm:f>
          </x14:formula1>
          <xm:sqref>D9</xm:sqref>
        </x14:dataValidation>
        <x14:dataValidation type="custom" errorStyle="warning" allowBlank="1" showInputMessage="1" showErrorMessage="1" errorTitle="Datum zu weit in der Zukunft" error="Das Datum liegt weiter in der Zukunft als die hinterlegten Fallzahlen - Bitte früheres Datum wählen oder im Tabellenblatt &quot;Fallzahlen (Berechnung)&quot; in den gelben (und ggf. orangefarbenen) Feldern die Fallzahlen ergänzen." xr:uid="{00000000-0002-0000-0200-000006000000}">
          <x14:formula1>
            <xm:f>(F9&lt;=MAX('Fallzahlen (Berechnung)'!P3:P3))</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tabColor theme="7" tint="0.59999389629810485"/>
  </sheetPr>
  <dimension ref="A1:Q523"/>
  <sheetViews>
    <sheetView showGridLines="0" tabSelected="1" zoomScale="120" zoomScaleNormal="120" workbookViewId="0">
      <pane ySplit="3" topLeftCell="A477" activePane="bottomLeft" state="frozen"/>
      <selection pane="bottomLeft" activeCell="G489" sqref="G489"/>
    </sheetView>
  </sheetViews>
  <sheetFormatPr baseColWidth="10" defaultRowHeight="12.75" x14ac:dyDescent="0.2"/>
  <cols>
    <col min="1" max="1" width="41.85546875" customWidth="1"/>
    <col min="2" max="2" width="14.28515625" customWidth="1"/>
    <col min="3" max="3" width="1.7109375" customWidth="1"/>
    <col min="4" max="4" width="13.42578125" customWidth="1"/>
    <col min="5" max="5" width="14" customWidth="1"/>
    <col min="6" max="7" width="13.42578125" customWidth="1"/>
    <col min="8" max="8" width="15" customWidth="1"/>
    <col min="9" max="11" width="13.42578125" customWidth="1"/>
    <col min="12" max="12" width="14" customWidth="1"/>
    <col min="13" max="13" width="13.85546875" customWidth="1"/>
    <col min="14" max="14" width="1.5703125" style="208" customWidth="1"/>
    <col min="15" max="15" width="11.5703125" style="208"/>
    <col min="16" max="17" width="11.5703125" style="143"/>
  </cols>
  <sheetData>
    <row r="1" spans="1:15" s="220" customFormat="1" ht="5.85" customHeight="1" x14ac:dyDescent="0.2">
      <c r="A1" s="218">
        <v>1</v>
      </c>
      <c r="B1" s="218">
        <v>2</v>
      </c>
      <c r="C1" s="219"/>
      <c r="D1" s="218">
        <v>1</v>
      </c>
      <c r="E1" s="218">
        <v>2</v>
      </c>
      <c r="F1" s="218">
        <v>3</v>
      </c>
      <c r="G1" s="218">
        <v>4</v>
      </c>
      <c r="H1" s="218">
        <v>5</v>
      </c>
      <c r="I1" s="218">
        <v>6</v>
      </c>
      <c r="J1" s="218">
        <v>7</v>
      </c>
      <c r="K1" s="218">
        <v>8</v>
      </c>
      <c r="L1" s="218">
        <v>9</v>
      </c>
      <c r="M1" s="218">
        <v>10</v>
      </c>
      <c r="N1" s="216"/>
      <c r="O1" s="216"/>
    </row>
    <row r="2" spans="1:15" x14ac:dyDescent="0.2">
      <c r="A2" s="364" t="str">
        <f>"Rahmendaten ("&amp;_Bundesweit&amp;")"</f>
        <v>Rahmendaten (Schweizweit)</v>
      </c>
      <c r="B2" s="364"/>
      <c r="C2" s="67"/>
      <c r="D2" s="363" t="s">
        <v>0</v>
      </c>
      <c r="E2" s="212"/>
      <c r="F2" s="367" t="s">
        <v>87</v>
      </c>
      <c r="G2" s="368"/>
      <c r="H2" s="369"/>
      <c r="I2" s="367" t="s">
        <v>28</v>
      </c>
      <c r="J2" s="368"/>
      <c r="K2" s="368"/>
      <c r="L2" s="369"/>
      <c r="M2" s="361" t="str">
        <f>"Tägliche Wachstumsrate"</f>
        <v>Tägliche Wachstumsrate</v>
      </c>
      <c r="N2" s="163"/>
      <c r="O2" s="208" t="s">
        <v>226</v>
      </c>
    </row>
    <row r="3" spans="1:15" ht="45" x14ac:dyDescent="0.2">
      <c r="A3" s="365"/>
      <c r="B3" s="365"/>
      <c r="C3" s="68"/>
      <c r="D3" s="363"/>
      <c r="E3" s="213" t="s">
        <v>241</v>
      </c>
      <c r="F3" s="61" t="str">
        <f>Stammdaten!$F$18</f>
        <v>BAG Schweiz</v>
      </c>
      <c r="G3" s="61" t="s">
        <v>186</v>
      </c>
      <c r="H3" s="61" t="str">
        <f>"Tatsächlich Infizierte "&amp;_Bundesweit</f>
        <v>Tatsächlich Infizierte Schweizweit</v>
      </c>
      <c r="I3" s="61" t="str">
        <f>F3</f>
        <v>BAG Schweiz</v>
      </c>
      <c r="J3" s="61" t="s">
        <v>74</v>
      </c>
      <c r="K3" s="61" t="s">
        <v>76</v>
      </c>
      <c r="L3" s="61" t="s">
        <v>215</v>
      </c>
      <c r="M3" s="362"/>
      <c r="N3" s="164"/>
      <c r="O3" s="164">
        <f>D4+SUM(O4:O9999)-1</f>
        <v>44342</v>
      </c>
    </row>
    <row r="4" spans="1:15" x14ac:dyDescent="0.2">
      <c r="A4" s="144" t="str">
        <f>"Einwohner "&amp;Stammdaten!B1</f>
        <v>Einwohner Schweiz</v>
      </c>
      <c r="B4" s="145">
        <f>Stammdaten!F8</f>
        <v>8544527</v>
      </c>
      <c r="C4" s="69"/>
      <c r="D4" s="63">
        <v>43858</v>
      </c>
      <c r="E4" s="64">
        <f t="shared" ref="E4:E67" si="0">IF(_AusgangswertKURZ="Bevölkerungsanteil",
$B$26*IF(F4=ROUNDDOWN(F4,0),F4,F4*VLOOKUP(WEEKDAY($D4,1),$A$51:$B$57,$B$1,FALSE)),
$B$17*IF(G4=ROUNDDOWN(G4,0),G4,G4*VLOOKUP(WEEKDAY($D4,1),$A$51:$B$57,$B$1,FALSE)))</f>
        <v>1</v>
      </c>
      <c r="F4" s="101">
        <v>1</v>
      </c>
      <c r="G4" s="140"/>
      <c r="H4" s="64">
        <f>F4</f>
        <v>1</v>
      </c>
      <c r="I4" s="64">
        <f>F4</f>
        <v>1</v>
      </c>
      <c r="J4" s="64">
        <f>G4</f>
        <v>0</v>
      </c>
      <c r="K4" s="101">
        <f>IFERROR(IF(D4=_Datum,Prognoseparameter!$C$14,
IF(_WachstumsrateKURZ="Bundesweit",IF(D4&gt;_Datum,
         K3+AVERAGE(#REF!)*(1+_WR)*(1-(K3-VLOOKUP('Erkrankungs- und Strukturdaten'!$C$45,$D:$M,$K$1,FALSE))/$B$16),
         K5-$B$23*F5),
IF(D4&gt;_Datum,K3+G4,IF(G5="",K5/(K5^(1/N4)),K5-G5)))),"")</f>
        <v>0</v>
      </c>
      <c r="L4" s="64">
        <f>I4/'Erkrankungs- und Strukturdaten'!$C$7</f>
        <v>1.8181818181818181</v>
      </c>
      <c r="M4" s="65"/>
      <c r="N4" s="163">
        <v>1</v>
      </c>
      <c r="O4" s="208">
        <f t="shared" ref="O4:O67" si="1">IF(F4=ROUNDDOWN(F4,0),1,0)</f>
        <v>1</v>
      </c>
    </row>
    <row r="5" spans="1:15" x14ac:dyDescent="0.2">
      <c r="A5" s="83" t="s">
        <v>96</v>
      </c>
      <c r="B5" s="141">
        <f>B4*'Erkrankungs- und Strukturdaten'!C6</f>
        <v>5981168.8999999994</v>
      </c>
      <c r="C5" s="70"/>
      <c r="D5" s="63">
        <v>43859</v>
      </c>
      <c r="E5" s="64">
        <f t="shared" si="0"/>
        <v>3</v>
      </c>
      <c r="F5" s="101">
        <v>3</v>
      </c>
      <c r="G5" s="140"/>
      <c r="H5" s="64">
        <f>H4+F5</f>
        <v>4</v>
      </c>
      <c r="I5" s="64">
        <f>I4+F5</f>
        <v>4</v>
      </c>
      <c r="J5" s="64">
        <f t="shared" ref="J5:J68" si="2">J4+G5</f>
        <v>0</v>
      </c>
      <c r="K5" s="101">
        <f>IFERROR(IF(D5=_Datum,Prognoseparameter!$C$14,
IF(_WachstumsrateKURZ="Bundesweit",IF(D5&gt;_Datum,
         K4+AVERAGE(F1:F4)*(1+_WR)*(1-(K4-VLOOKUP('Erkrankungs- und Strukturdaten'!$C$45,$D:$M,$K$1,FALSE))/$B$16),
         K6-$B$23*F6),
IF(D5&gt;_Datum,K4+G5,IF(G6="",K6/(K6^(1/N5)),K6-G6)))),"")</f>
        <v>0</v>
      </c>
      <c r="L5" s="64">
        <f>I5/'Erkrankungs- und Strukturdaten'!$C$7</f>
        <v>7.2727272727272725</v>
      </c>
      <c r="M5" s="65">
        <f>IFERROR((I5-I4)/I4,0)</f>
        <v>3</v>
      </c>
      <c r="N5" s="163">
        <v>2</v>
      </c>
      <c r="O5" s="208">
        <f t="shared" si="1"/>
        <v>1</v>
      </c>
    </row>
    <row r="6" spans="1:15" x14ac:dyDescent="0.2">
      <c r="A6" s="83" t="s">
        <v>235</v>
      </c>
      <c r="B6" s="141">
        <f>B5*'Erkrankungs- und Strukturdaten'!$C$7</f>
        <v>3289642.895</v>
      </c>
      <c r="C6" s="71"/>
      <c r="D6" s="63">
        <v>43860</v>
      </c>
      <c r="E6" s="64">
        <f t="shared" si="0"/>
        <v>0</v>
      </c>
      <c r="F6" s="101">
        <v>0</v>
      </c>
      <c r="G6" s="140"/>
      <c r="H6" s="64">
        <f>E6/'Erkrankungs- und Strukturdaten'!$C$7</f>
        <v>0</v>
      </c>
      <c r="I6" s="64">
        <f t="shared" ref="I6:I69" si="3">I5+F6</f>
        <v>4</v>
      </c>
      <c r="J6" s="64">
        <f t="shared" si="2"/>
        <v>0</v>
      </c>
      <c r="K6" s="101">
        <f>IFERROR(IF(D6=_Datum,Prognoseparameter!$C$14,
IF(_WachstumsrateKURZ="Bundesweit",IF(D6&gt;_Datum,
         K5+AVERAGE(F2:F5)*(1+_WR)*(1-(K5-VLOOKUP('Erkrankungs- und Strukturdaten'!$C$45,$D:$M,$K$1,FALSE))/$B$16),
         K7-$B$23*F7),
IF(D6&gt;_Datum,K5+G6,IF(G7="",K7/(K7^(1/N6)),K7-G7)))),"")</f>
        <v>0</v>
      </c>
      <c r="L6" s="64">
        <f>I6/'Erkrankungs- und Strukturdaten'!$C$7</f>
        <v>7.2727272727272725</v>
      </c>
      <c r="M6" s="65">
        <f t="shared" ref="M6:M69" si="4">IFERROR((I6-I5)/I5,0)</f>
        <v>0</v>
      </c>
      <c r="N6" s="163">
        <v>3</v>
      </c>
      <c r="O6" s="208">
        <f t="shared" si="1"/>
        <v>1</v>
      </c>
    </row>
    <row r="7" spans="1:15" x14ac:dyDescent="0.2">
      <c r="A7" s="83" t="s">
        <v>50</v>
      </c>
      <c r="B7" s="180">
        <f>Prognoseparameter!C10/'Fallzahlen (Berechnung)'!B4</f>
        <v>1</v>
      </c>
      <c r="C7" s="72"/>
      <c r="D7" s="63">
        <v>43861</v>
      </c>
      <c r="E7" s="64">
        <f t="shared" si="0"/>
        <v>1</v>
      </c>
      <c r="F7" s="101">
        <v>1</v>
      </c>
      <c r="G7" s="140"/>
      <c r="H7" s="64">
        <f>E7/'Erkrankungs- und Strukturdaten'!$C$7</f>
        <v>1.8181818181818181</v>
      </c>
      <c r="I7" s="64">
        <f t="shared" si="3"/>
        <v>5</v>
      </c>
      <c r="J7" s="64">
        <f t="shared" si="2"/>
        <v>0</v>
      </c>
      <c r="K7" s="101">
        <f>IFERROR(IF(D7=_Datum,Prognoseparameter!$C$14,
IF(_WachstumsrateKURZ="Bundesweit",IF(D7&gt;_Datum,
         K6+AVERAGE(F3:F6)*(1+_WR)*(1-(K6-VLOOKUP('Erkrankungs- und Strukturdaten'!$C$45,$D:$M,$K$1,FALSE))/$B$16),
         K8-$B$23*F8),
IF(D7&gt;_Datum,K6+G7,IF(G8="",K8/(K8^(1/N7)),K8-G8)))),"")</f>
        <v>0</v>
      </c>
      <c r="L7" s="64">
        <f>I7/'Erkrankungs- und Strukturdaten'!$C$7</f>
        <v>9.0909090909090899</v>
      </c>
      <c r="M7" s="65">
        <f t="shared" si="4"/>
        <v>0.25</v>
      </c>
      <c r="N7" s="163">
        <v>4</v>
      </c>
      <c r="O7" s="208">
        <f t="shared" si="1"/>
        <v>1</v>
      </c>
    </row>
    <row r="8" spans="1:15" x14ac:dyDescent="0.2">
      <c r="A8" s="83" t="str">
        <f>"Anteil "&amp;_Krankenhaus</f>
        <v>Anteil Spital</v>
      </c>
      <c r="B8" s="153">
        <f>Prognoseparameter!C17*'Fallzahlen (Berechnung)'!B7</f>
        <v>1</v>
      </c>
      <c r="C8" s="69"/>
      <c r="D8" s="63">
        <v>43862</v>
      </c>
      <c r="E8" s="64">
        <f t="shared" si="0"/>
        <v>2</v>
      </c>
      <c r="F8" s="101">
        <v>2</v>
      </c>
      <c r="G8" s="140"/>
      <c r="H8" s="64">
        <f>E8/'Erkrankungs- und Strukturdaten'!$C$7</f>
        <v>3.6363636363636362</v>
      </c>
      <c r="I8" s="64">
        <f t="shared" si="3"/>
        <v>7</v>
      </c>
      <c r="J8" s="64">
        <f t="shared" si="2"/>
        <v>0</v>
      </c>
      <c r="K8" s="101">
        <f>IFERROR(IF(D8=_Datum,Prognoseparameter!$C$14,
IF(_WachstumsrateKURZ="Bundesweit",IF(D8&gt;_Datum,
         K7+AVERAGE(F4:F7)*(1+_WR)*(1-(K7-VLOOKUP('Erkrankungs- und Strukturdaten'!$C$45,$D:$M,$K$1,FALSE))/$B$16),
         K9-$B$23*F9),
IF(D8&gt;_Datum,K7+G8,IF(G9="",K9/(K9^(1/N8)),K9-G9)))),"")</f>
        <v>0</v>
      </c>
      <c r="L8" s="64">
        <f>I8/'Erkrankungs- und Strukturdaten'!$C$7</f>
        <v>12.727272727272727</v>
      </c>
      <c r="M8" s="65">
        <f t="shared" si="4"/>
        <v>0.4</v>
      </c>
      <c r="N8" s="163">
        <v>5</v>
      </c>
      <c r="O8" s="208">
        <f t="shared" si="1"/>
        <v>1</v>
      </c>
    </row>
    <row r="9" spans="1:15" x14ac:dyDescent="0.2">
      <c r="A9" s="62"/>
      <c r="B9" s="85"/>
      <c r="C9" s="69"/>
      <c r="D9" s="63">
        <v>43863</v>
      </c>
      <c r="E9" s="64">
        <f t="shared" si="0"/>
        <v>1</v>
      </c>
      <c r="F9" s="101">
        <v>1</v>
      </c>
      <c r="G9" s="140"/>
      <c r="H9" s="64">
        <f>E9/'Erkrankungs- und Strukturdaten'!$C$7</f>
        <v>1.8181818181818181</v>
      </c>
      <c r="I9" s="64">
        <f t="shared" si="3"/>
        <v>8</v>
      </c>
      <c r="J9" s="64">
        <f t="shared" si="2"/>
        <v>0</v>
      </c>
      <c r="K9" s="101">
        <f>IFERROR(IF(D9=_Datum,Prognoseparameter!$C$14,
IF(_WachstumsrateKURZ="Bundesweit",IF(D9&gt;_Datum,
         K8+AVERAGE(F5:F8)*(1+_WR)*(1-(K8-VLOOKUP('Erkrankungs- und Strukturdaten'!$C$45,$D:$M,$K$1,FALSE))/$B$16),
         K10-$B$23*F10),
IF(D9&gt;_Datum,K8+G9,IF(G10="",K10/(K10^(1/N9)),K10-G10)))),"")</f>
        <v>0</v>
      </c>
      <c r="L9" s="64">
        <f>I9/'Erkrankungs- und Strukturdaten'!$C$7</f>
        <v>14.545454545454545</v>
      </c>
      <c r="M9" s="65">
        <f t="shared" si="4"/>
        <v>0.14285714285714285</v>
      </c>
      <c r="N9" s="163">
        <v>6</v>
      </c>
      <c r="O9" s="208">
        <f t="shared" si="1"/>
        <v>1</v>
      </c>
    </row>
    <row r="10" spans="1:15" x14ac:dyDescent="0.2">
      <c r="A10" s="363" t="s">
        <v>75</v>
      </c>
      <c r="B10" s="363"/>
      <c r="C10" s="69"/>
      <c r="D10" s="63">
        <v>43864</v>
      </c>
      <c r="E10" s="64">
        <f t="shared" si="0"/>
        <v>1</v>
      </c>
      <c r="F10" s="101">
        <v>1</v>
      </c>
      <c r="G10" s="140"/>
      <c r="H10" s="64">
        <f>E10/'Erkrankungs- und Strukturdaten'!$C$7</f>
        <v>1.8181818181818181</v>
      </c>
      <c r="I10" s="64">
        <f t="shared" si="3"/>
        <v>9</v>
      </c>
      <c r="J10" s="64">
        <f t="shared" si="2"/>
        <v>0</v>
      </c>
      <c r="K10" s="101">
        <f>IFERROR(IF(D10=_Datum,Prognoseparameter!$C$14,
IF(_WachstumsrateKURZ="Bundesweit",IF(D10&gt;_Datum,
         K9+AVERAGE(F6:F9)*(1+_WR)*(1-(K9-VLOOKUP('Erkrankungs- und Strukturdaten'!$C$45,$D:$M,$K$1,FALSE))/$B$16),
         K11-$B$23*F11),
IF(D10&gt;_Datum,K9+G10,IF(G11="",K11/(K11^(1/N10)),K11-G11)))),"")</f>
        <v>0</v>
      </c>
      <c r="L10" s="64">
        <f>I10/'Erkrankungs- und Strukturdaten'!$C$7</f>
        <v>16.363636363636363</v>
      </c>
      <c r="M10" s="65">
        <f t="shared" si="4"/>
        <v>0.125</v>
      </c>
      <c r="N10" s="163">
        <v>7</v>
      </c>
      <c r="O10" s="208">
        <f t="shared" si="1"/>
        <v>1</v>
      </c>
    </row>
    <row r="11" spans="1:15" x14ac:dyDescent="0.2">
      <c r="A11" s="363" t="s">
        <v>75</v>
      </c>
      <c r="B11" s="363"/>
      <c r="C11" s="69"/>
      <c r="D11" s="63">
        <v>43865</v>
      </c>
      <c r="E11" s="64">
        <f t="shared" si="0"/>
        <v>2</v>
      </c>
      <c r="F11" s="101">
        <v>2</v>
      </c>
      <c r="G11" s="140"/>
      <c r="H11" s="64">
        <f>E11/'Erkrankungs- und Strukturdaten'!$C$7</f>
        <v>3.6363636363636362</v>
      </c>
      <c r="I11" s="64">
        <f t="shared" si="3"/>
        <v>11</v>
      </c>
      <c r="J11" s="64">
        <f t="shared" si="2"/>
        <v>0</v>
      </c>
      <c r="K11" s="101">
        <f>IFERROR(IF(D11=_Datum,Prognoseparameter!$C$14,
IF(_WachstumsrateKURZ="Bundesweit",IF(D11&gt;_Datum,
         K10+AVERAGE(F7:F10)*(1+_WR)*(1-(K10-VLOOKUP('Erkrankungs- und Strukturdaten'!$C$45,$D:$M,$K$1,FALSE))/$B$16),
         K12-$B$23*F12),
IF(D11&gt;_Datum,K10+G11,IF(G12="",K12/(K12^(1/N11)),K12-G12)))),"")</f>
        <v>0</v>
      </c>
      <c r="L11" s="64">
        <f>I11/'Erkrankungs- und Strukturdaten'!$C$7</f>
        <v>20</v>
      </c>
      <c r="M11" s="65">
        <f t="shared" si="4"/>
        <v>0.22222222222222221</v>
      </c>
      <c r="N11" s="163">
        <v>8</v>
      </c>
      <c r="O11" s="208">
        <f t="shared" si="1"/>
        <v>1</v>
      </c>
    </row>
    <row r="12" spans="1:15" x14ac:dyDescent="0.2">
      <c r="A12" s="83" t="s">
        <v>98</v>
      </c>
      <c r="B12" s="142">
        <f>_Datum-(B58="Nein")</f>
        <v>44342</v>
      </c>
      <c r="C12" s="60"/>
      <c r="D12" s="63">
        <v>43866</v>
      </c>
      <c r="E12" s="64">
        <f t="shared" si="0"/>
        <v>0</v>
      </c>
      <c r="F12" s="101">
        <v>0</v>
      </c>
      <c r="G12" s="140"/>
      <c r="H12" s="64">
        <f>E12/'Erkrankungs- und Strukturdaten'!$C$7</f>
        <v>0</v>
      </c>
      <c r="I12" s="64">
        <f t="shared" si="3"/>
        <v>11</v>
      </c>
      <c r="J12" s="64">
        <f t="shared" si="2"/>
        <v>0</v>
      </c>
      <c r="K12" s="101">
        <f>IFERROR(IF(D12=_Datum,Prognoseparameter!$C$14,
IF(_WachstumsrateKURZ="Bundesweit",IF(D12&gt;_Datum,
         K11+AVERAGE(F8:F11)*(1+_WR)*(1-(K11-VLOOKUP('Erkrankungs- und Strukturdaten'!$C$45,$D:$M,$K$1,FALSE))/$B$16),
         K13-$B$23*F13),
IF(D12&gt;_Datum,K11+G12,IF(G13="",K13/(K13^(1/N12)),K13-G13)))),"")</f>
        <v>0</v>
      </c>
      <c r="L12" s="64">
        <f>I12/'Erkrankungs- und Strukturdaten'!$C$7</f>
        <v>20</v>
      </c>
      <c r="M12" s="65">
        <f t="shared" si="4"/>
        <v>0</v>
      </c>
      <c r="N12" s="163">
        <v>9</v>
      </c>
      <c r="O12" s="208">
        <f t="shared" si="1"/>
        <v>1</v>
      </c>
    </row>
    <row r="13" spans="1:15" x14ac:dyDescent="0.2">
      <c r="A13" s="83" t="s">
        <v>95</v>
      </c>
      <c r="B13" s="141">
        <f>Prognoseparameter!C10</f>
        <v>8544527</v>
      </c>
      <c r="D13" s="63">
        <v>43867</v>
      </c>
      <c r="E13" s="64">
        <f t="shared" si="0"/>
        <v>0</v>
      </c>
      <c r="F13" s="101">
        <v>0</v>
      </c>
      <c r="G13" s="140"/>
      <c r="H13" s="64">
        <f>E13/'Erkrankungs- und Strukturdaten'!$C$7</f>
        <v>0</v>
      </c>
      <c r="I13" s="64">
        <f t="shared" si="3"/>
        <v>11</v>
      </c>
      <c r="J13" s="64">
        <f t="shared" si="2"/>
        <v>0</v>
      </c>
      <c r="K13" s="101">
        <f>IFERROR(IF(D13=_Datum,Prognoseparameter!$C$14,
IF(_WachstumsrateKURZ="Bundesweit",IF(D13&gt;_Datum,
         K12+AVERAGE(F9:F12)*(1+_WR)*(1-(K12-VLOOKUP('Erkrankungs- und Strukturdaten'!$C$45,$D:$M,$K$1,FALSE))/$B$16),
         K14-$B$23*F14),
IF(D13&gt;_Datum,K12+G13,IF(G14="",K14/(K14^(1/N13)),K14-G14)))),"")</f>
        <v>0</v>
      </c>
      <c r="L13" s="64">
        <f>I13/'Erkrankungs- und Strukturdaten'!$C$7</f>
        <v>20</v>
      </c>
      <c r="M13" s="65">
        <f t="shared" si="4"/>
        <v>0</v>
      </c>
      <c r="N13" s="163">
        <v>10</v>
      </c>
      <c r="O13" s="208">
        <f t="shared" si="1"/>
        <v>1</v>
      </c>
    </row>
    <row r="14" spans="1:15" x14ac:dyDescent="0.2">
      <c r="A14" s="83" t="s">
        <v>29</v>
      </c>
      <c r="B14" s="84">
        <f>'Erkrankungs- und Strukturdaten'!C6</f>
        <v>0.7</v>
      </c>
      <c r="D14" s="63">
        <v>43868</v>
      </c>
      <c r="E14" s="64">
        <f t="shared" si="0"/>
        <v>1</v>
      </c>
      <c r="F14" s="101">
        <v>1</v>
      </c>
      <c r="G14" s="140"/>
      <c r="H14" s="64">
        <f>E14/'Erkrankungs- und Strukturdaten'!$C$7</f>
        <v>1.8181818181818181</v>
      </c>
      <c r="I14" s="64">
        <f t="shared" si="3"/>
        <v>12</v>
      </c>
      <c r="J14" s="64">
        <f t="shared" si="2"/>
        <v>0</v>
      </c>
      <c r="K14" s="101">
        <f>IFERROR(IF(D14=_Datum,Prognoseparameter!$C$14,
IF(_WachstumsrateKURZ="Bundesweit",IF(D14&gt;_Datum,
         K13+AVERAGE(F10:F13)*(1+_WR)*(1-(K13-VLOOKUP('Erkrankungs- und Strukturdaten'!$C$45,$D:$M,$K$1,FALSE))/$B$16),
         K15-$B$23*F15),
IF(D14&gt;_Datum,K13+G14,IF(G15="",K15/(K15^(1/N14)),K15-G15)))),"")</f>
        <v>0</v>
      </c>
      <c r="L14" s="64">
        <f>I14/'Erkrankungs- und Strukturdaten'!$C$7</f>
        <v>21.818181818181817</v>
      </c>
      <c r="M14" s="65">
        <f t="shared" si="4"/>
        <v>9.0909090909090912E-2</v>
      </c>
      <c r="N14" s="163">
        <v>11</v>
      </c>
      <c r="O14" s="208">
        <f t="shared" si="1"/>
        <v>1</v>
      </c>
    </row>
    <row r="15" spans="1:15" x14ac:dyDescent="0.2">
      <c r="A15" s="83" t="s">
        <v>96</v>
      </c>
      <c r="B15" s="141">
        <f>B13*B14</f>
        <v>5981168.8999999994</v>
      </c>
      <c r="D15" s="63">
        <v>43869</v>
      </c>
      <c r="E15" s="64">
        <f t="shared" si="0"/>
        <v>1</v>
      </c>
      <c r="F15" s="101">
        <v>1</v>
      </c>
      <c r="G15" s="140"/>
      <c r="H15" s="64">
        <f>E15/'Erkrankungs- und Strukturdaten'!$C$7</f>
        <v>1.8181818181818181</v>
      </c>
      <c r="I15" s="64">
        <f t="shared" si="3"/>
        <v>13</v>
      </c>
      <c r="J15" s="64">
        <f t="shared" si="2"/>
        <v>0</v>
      </c>
      <c r="K15" s="101">
        <f>IFERROR(IF(D15=_Datum,Prognoseparameter!$C$14,
IF(_WachstumsrateKURZ="Bundesweit",IF(D15&gt;_Datum,
         K14+AVERAGE(F11:F14)*(1+_WR)*(1-(K14-VLOOKUP('Erkrankungs- und Strukturdaten'!$C$45,$D:$M,$K$1,FALSE))/$B$16),
         K16-$B$23*F16),
IF(D15&gt;_Datum,K14+G15,IF(G16="",K16/(K16^(1/N15)),K16-G16)))),"")</f>
        <v>0</v>
      </c>
      <c r="L15" s="64">
        <f>I15/'Erkrankungs- und Strukturdaten'!$C$7</f>
        <v>23.636363636363633</v>
      </c>
      <c r="M15" s="65">
        <f t="shared" si="4"/>
        <v>8.3333333333333329E-2</v>
      </c>
      <c r="N15" s="163">
        <v>12</v>
      </c>
      <c r="O15" s="208">
        <f t="shared" si="1"/>
        <v>1</v>
      </c>
    </row>
    <row r="16" spans="1:15" x14ac:dyDescent="0.2">
      <c r="A16" s="83" t="s">
        <v>235</v>
      </c>
      <c r="B16" s="141">
        <f>B15*'Erkrankungs- und Strukturdaten'!$C$7</f>
        <v>3289642.895</v>
      </c>
      <c r="D16" s="63">
        <v>43870</v>
      </c>
      <c r="E16" s="64">
        <f t="shared" si="0"/>
        <v>0</v>
      </c>
      <c r="F16" s="101">
        <v>0</v>
      </c>
      <c r="G16" s="140"/>
      <c r="H16" s="64">
        <f>E16/'Erkrankungs- und Strukturdaten'!$C$7</f>
        <v>0</v>
      </c>
      <c r="I16" s="64">
        <f t="shared" si="3"/>
        <v>13</v>
      </c>
      <c r="J16" s="64">
        <f t="shared" si="2"/>
        <v>0</v>
      </c>
      <c r="K16" s="101">
        <f>IFERROR(IF(D16=_Datum,Prognoseparameter!$C$14,
IF(_WachstumsrateKURZ="Bundesweit",IF(D16&gt;_Datum,
         K15+AVERAGE(F12:F15)*(1+_WR)*(1-(K15-VLOOKUP('Erkrankungs- und Strukturdaten'!$C$45,$D:$M,$K$1,FALSE))/$B$16),
         K17-$B$23*F17),
IF(D16&gt;_Datum,K15+G16,IF(G17="",K17/(K17^(1/N16)),K17-G17)))),"")</f>
        <v>0</v>
      </c>
      <c r="L16" s="64">
        <f>I16/'Erkrankungs- und Strukturdaten'!$C$7</f>
        <v>23.636363636363633</v>
      </c>
      <c r="M16" s="65">
        <f t="shared" si="4"/>
        <v>0</v>
      </c>
      <c r="N16" s="163">
        <v>13</v>
      </c>
      <c r="O16" s="208">
        <f t="shared" si="1"/>
        <v>1</v>
      </c>
    </row>
    <row r="17" spans="1:15" x14ac:dyDescent="0.2">
      <c r="A17" s="83" t="str">
        <f>"Anteil "&amp;_Krankenhaus</f>
        <v>Anteil Spital</v>
      </c>
      <c r="B17" s="84">
        <f>Prognoseparameter!C17</f>
        <v>1</v>
      </c>
      <c r="D17" s="63">
        <v>43871</v>
      </c>
      <c r="E17" s="64">
        <f t="shared" si="0"/>
        <v>0</v>
      </c>
      <c r="F17" s="101">
        <v>0</v>
      </c>
      <c r="G17" s="140"/>
      <c r="H17" s="64">
        <f>E17/'Erkrankungs- und Strukturdaten'!$C$7</f>
        <v>0</v>
      </c>
      <c r="I17" s="64">
        <f t="shared" si="3"/>
        <v>13</v>
      </c>
      <c r="J17" s="64">
        <f t="shared" si="2"/>
        <v>0</v>
      </c>
      <c r="K17" s="101">
        <f>IFERROR(IF(D17=_Datum,Prognoseparameter!$C$14,
IF(_WachstumsrateKURZ="Bundesweit",IF(D17&gt;_Datum,
         K16+AVERAGE(F13:F16)*(1+_WR)*(1-(K16-VLOOKUP('Erkrankungs- und Strukturdaten'!$C$45,$D:$M,$K$1,FALSE))/$B$16),
         K18-$B$23*F18),
IF(D17&gt;_Datum,K16+G17,IF(G18="",K18/(K18^(1/N17)),K18-G18)))),"")</f>
        <v>0</v>
      </c>
      <c r="L17" s="64">
        <f>I17/'Erkrankungs- und Strukturdaten'!$C$7</f>
        <v>23.636363636363633</v>
      </c>
      <c r="M17" s="65">
        <f t="shared" si="4"/>
        <v>0</v>
      </c>
      <c r="N17" s="163">
        <v>14</v>
      </c>
      <c r="O17" s="208">
        <f t="shared" si="1"/>
        <v>1</v>
      </c>
    </row>
    <row r="18" spans="1:15" x14ac:dyDescent="0.2">
      <c r="A18" s="83" t="s">
        <v>162</v>
      </c>
      <c r="B18" s="84">
        <f>'Erkrankungs- und Strukturdaten'!C7</f>
        <v>0.55000000000000004</v>
      </c>
      <c r="D18" s="63">
        <v>43872</v>
      </c>
      <c r="E18" s="64">
        <f t="shared" si="0"/>
        <v>0</v>
      </c>
      <c r="F18" s="101">
        <v>0</v>
      </c>
      <c r="G18" s="140"/>
      <c r="H18" s="64">
        <f>E18/'Erkrankungs- und Strukturdaten'!$C$7</f>
        <v>0</v>
      </c>
      <c r="I18" s="64">
        <f t="shared" si="3"/>
        <v>13</v>
      </c>
      <c r="J18" s="64">
        <f t="shared" si="2"/>
        <v>0</v>
      </c>
      <c r="K18" s="101">
        <f>IFERROR(IF(D18=_Datum,Prognoseparameter!$C$14,
IF(_WachstumsrateKURZ="Bundesweit",IF(D18&gt;_Datum,
         K17+AVERAGE(F14:F17)*(1+_WR)*(1-(K17-VLOOKUP('Erkrankungs- und Strukturdaten'!$C$45,$D:$M,$K$1,FALSE))/$B$16),
         K19-$B$23*F19),
IF(D18&gt;_Datum,K17+G18,IF(G19="",K19/(K19^(1/N18)),K19-G19)))),"")</f>
        <v>0</v>
      </c>
      <c r="L18" s="64">
        <f>I18/'Erkrankungs- und Strukturdaten'!$C$7</f>
        <v>23.636363636363633</v>
      </c>
      <c r="M18" s="65">
        <f t="shared" si="4"/>
        <v>0</v>
      </c>
      <c r="N18" s="163">
        <v>15</v>
      </c>
      <c r="O18" s="208">
        <f t="shared" si="1"/>
        <v>1</v>
      </c>
    </row>
    <row r="19" spans="1:15" x14ac:dyDescent="0.2">
      <c r="A19" s="209"/>
      <c r="B19" s="210"/>
      <c r="D19" s="63">
        <v>43873</v>
      </c>
      <c r="E19" s="64">
        <f t="shared" si="0"/>
        <v>2</v>
      </c>
      <c r="F19" s="101">
        <v>2</v>
      </c>
      <c r="G19" s="140"/>
      <c r="H19" s="64">
        <f>E19/'Erkrankungs- und Strukturdaten'!$C$7</f>
        <v>3.6363636363636362</v>
      </c>
      <c r="I19" s="64">
        <f t="shared" si="3"/>
        <v>15</v>
      </c>
      <c r="J19" s="64">
        <f t="shared" si="2"/>
        <v>0</v>
      </c>
      <c r="K19" s="101">
        <f>IFERROR(IF(D19=_Datum,Prognoseparameter!$C$14,
IF(_WachstumsrateKURZ="Bundesweit",IF(D19&gt;_Datum,
         K18+AVERAGE(F15:F18)*(1+_WR)*(1-(K18-VLOOKUP('Erkrankungs- und Strukturdaten'!$C$45,$D:$M,$K$1,FALSE))/$B$16),
         K20-$B$23*F20),
IF(D19&gt;_Datum,K18+G19,IF(G20="",K20/(K20^(1/N19)),K20-G20)))),"")</f>
        <v>0</v>
      </c>
      <c r="L19" s="64">
        <f>I19/'Erkrankungs- und Strukturdaten'!$C$7</f>
        <v>27.27272727272727</v>
      </c>
      <c r="M19" s="65">
        <f t="shared" si="4"/>
        <v>0.15384615384615385</v>
      </c>
      <c r="N19" s="163">
        <v>16</v>
      </c>
      <c r="O19" s="208">
        <f t="shared" si="1"/>
        <v>1</v>
      </c>
    </row>
    <row r="20" spans="1:15" x14ac:dyDescent="0.2">
      <c r="A20" s="120"/>
      <c r="D20" s="63">
        <v>43874</v>
      </c>
      <c r="E20" s="64">
        <f t="shared" si="0"/>
        <v>0</v>
      </c>
      <c r="F20" s="101">
        <v>0</v>
      </c>
      <c r="G20" s="140"/>
      <c r="H20" s="64">
        <f>E20/'Erkrankungs- und Strukturdaten'!$C$7</f>
        <v>0</v>
      </c>
      <c r="I20" s="64">
        <f t="shared" si="3"/>
        <v>15</v>
      </c>
      <c r="J20" s="64">
        <f t="shared" si="2"/>
        <v>0</v>
      </c>
      <c r="K20" s="101">
        <f>IFERROR(IF(D20=_Datum,Prognoseparameter!$C$14,
IF(_WachstumsrateKURZ="Bundesweit",IF(D20&gt;_Datum,
         K19+AVERAGE(F16:F19)*(1+_WR)*(1-(K19-VLOOKUP('Erkrankungs- und Strukturdaten'!$C$45,$D:$M,$K$1,FALSE))/$B$16),
         K21-$B$23*F21),
IF(D20&gt;_Datum,K19+G20,IF(G21="",K21/(K21^(1/N20)),K21-G21)))),"")</f>
        <v>0</v>
      </c>
      <c r="L20" s="64">
        <f>I20/'Erkrankungs- und Strukturdaten'!$C$7</f>
        <v>27.27272727272727</v>
      </c>
      <c r="M20" s="65">
        <f t="shared" si="4"/>
        <v>0</v>
      </c>
      <c r="N20" s="163">
        <v>17</v>
      </c>
      <c r="O20" s="208">
        <f t="shared" si="1"/>
        <v>1</v>
      </c>
    </row>
    <row r="21" spans="1:15" x14ac:dyDescent="0.2">
      <c r="A21" s="366" t="s">
        <v>97</v>
      </c>
      <c r="B21" s="366"/>
      <c r="D21" s="63">
        <v>43875</v>
      </c>
      <c r="E21" s="64">
        <f t="shared" si="0"/>
        <v>0</v>
      </c>
      <c r="F21" s="101">
        <v>0</v>
      </c>
      <c r="G21" s="140"/>
      <c r="H21" s="64">
        <f>E21/'Erkrankungs- und Strukturdaten'!$C$7</f>
        <v>0</v>
      </c>
      <c r="I21" s="64">
        <f t="shared" si="3"/>
        <v>15</v>
      </c>
      <c r="J21" s="64">
        <f t="shared" si="2"/>
        <v>0</v>
      </c>
      <c r="K21" s="101">
        <f>IFERROR(IF(D21=_Datum,Prognoseparameter!$C$14,
IF(_WachstumsrateKURZ="Bundesweit",IF(D21&gt;_Datum,
         K20+AVERAGE(F17:F20)*(1+_WR)*(1-(K20-VLOOKUP('Erkrankungs- und Strukturdaten'!$C$45,$D:$M,$K$1,FALSE))/$B$16),
         K22-$B$23*F22),
IF(D21&gt;_Datum,K20+G21,IF(G22="",K22/(K22^(1/N21)),K22-G22)))),"")</f>
        <v>0</v>
      </c>
      <c r="L21" s="64">
        <f>I21/'Erkrankungs- und Strukturdaten'!$C$7</f>
        <v>27.27272727272727</v>
      </c>
      <c r="M21" s="65">
        <f t="shared" si="4"/>
        <v>0</v>
      </c>
      <c r="N21" s="163">
        <v>18</v>
      </c>
      <c r="O21" s="208">
        <f t="shared" si="1"/>
        <v>1</v>
      </c>
    </row>
    <row r="22" spans="1:15" x14ac:dyDescent="0.2">
      <c r="A22" s="365"/>
      <c r="B22" s="365"/>
      <c r="D22" s="63">
        <v>43876</v>
      </c>
      <c r="E22" s="64">
        <f t="shared" si="0"/>
        <v>0</v>
      </c>
      <c r="F22" s="101">
        <v>0</v>
      </c>
      <c r="G22" s="140"/>
      <c r="H22" s="64">
        <f>E22/'Erkrankungs- und Strukturdaten'!$C$7</f>
        <v>0</v>
      </c>
      <c r="I22" s="64">
        <f t="shared" si="3"/>
        <v>15</v>
      </c>
      <c r="J22" s="64">
        <f t="shared" si="2"/>
        <v>0</v>
      </c>
      <c r="K22" s="101">
        <f>IFERROR(IF(D22=_Datum,Prognoseparameter!$C$14,
IF(_WachstumsrateKURZ="Bundesweit",IF(D22&gt;_Datum,
         K21+AVERAGE(F18:F21)*(1+_WR)*(1-(K21-VLOOKUP('Erkrankungs- und Strukturdaten'!$C$45,$D:$M,$K$1,FALSE))/$B$16),
         K23-$B$23*F23),
IF(D22&gt;_Datum,K21+G22,IF(G23="",K23/(K23^(1/N22)),K23-G23)))),"")</f>
        <v>0</v>
      </c>
      <c r="L22" s="64">
        <f>I22/'Erkrankungs- und Strukturdaten'!$C$7</f>
        <v>27.27272727272727</v>
      </c>
      <c r="M22" s="65">
        <f t="shared" si="4"/>
        <v>0</v>
      </c>
      <c r="N22" s="163">
        <v>19</v>
      </c>
      <c r="O22" s="208">
        <f t="shared" si="1"/>
        <v>1</v>
      </c>
    </row>
    <row r="23" spans="1:15" x14ac:dyDescent="0.2">
      <c r="A23" s="83" t="s">
        <v>77</v>
      </c>
      <c r="B23" s="84">
        <f>Prognoseparameter!C14/VLOOKUP(_Datum,'Fallzahlen (Berechnung)'!D:I,$I$1,FALSE)</f>
        <v>0</v>
      </c>
      <c r="D23" s="63">
        <v>43877</v>
      </c>
      <c r="E23" s="64">
        <f t="shared" si="0"/>
        <v>0</v>
      </c>
      <c r="F23" s="101">
        <v>0</v>
      </c>
      <c r="G23" s="140"/>
      <c r="H23" s="64">
        <f>E23/'Erkrankungs- und Strukturdaten'!$C$7</f>
        <v>0</v>
      </c>
      <c r="I23" s="64">
        <f t="shared" si="3"/>
        <v>15</v>
      </c>
      <c r="J23" s="64">
        <f t="shared" si="2"/>
        <v>0</v>
      </c>
      <c r="K23" s="101">
        <f>IFERROR(IF(D23=_Datum,Prognoseparameter!$C$14,
IF(_WachstumsrateKURZ="Bundesweit",IF(D23&gt;_Datum,
         K22+AVERAGE(F19:F22)*(1+_WR)*(1-(K22-VLOOKUP('Erkrankungs- und Strukturdaten'!$C$45,$D:$M,$K$1,FALSE))/$B$16),
         K24-$B$23*F24),
IF(D23&gt;_Datum,K22+G23,IF(G24="",K24/(K24^(1/N23)),K24-G24)))),"")</f>
        <v>0</v>
      </c>
      <c r="L23" s="64">
        <f>I23/'Erkrankungs- und Strukturdaten'!$C$7</f>
        <v>27.27272727272727</v>
      </c>
      <c r="M23" s="65">
        <f t="shared" si="4"/>
        <v>0</v>
      </c>
      <c r="N23" s="163">
        <v>20</v>
      </c>
      <c r="O23" s="208">
        <f t="shared" si="1"/>
        <v>1</v>
      </c>
    </row>
    <row r="24" spans="1:15" x14ac:dyDescent="0.2">
      <c r="A24" s="83" t="s">
        <v>79</v>
      </c>
      <c r="B24" s="141">
        <f>Prognoseparameter!C10*'Erkrankungs- und Strukturdaten'!C6</f>
        <v>5981168.8999999994</v>
      </c>
      <c r="D24" s="63">
        <v>43878</v>
      </c>
      <c r="E24" s="64">
        <f t="shared" si="0"/>
        <v>0</v>
      </c>
      <c r="F24" s="101">
        <v>0</v>
      </c>
      <c r="G24" s="140"/>
      <c r="H24" s="64">
        <f>E24/'Erkrankungs- und Strukturdaten'!$C$7</f>
        <v>0</v>
      </c>
      <c r="I24" s="64">
        <f t="shared" si="3"/>
        <v>15</v>
      </c>
      <c r="J24" s="64">
        <f t="shared" si="2"/>
        <v>0</v>
      </c>
      <c r="K24" s="101">
        <f>IFERROR(IF(D24=_Datum,Prognoseparameter!$C$14,
IF(_WachstumsrateKURZ="Bundesweit",IF(D24&gt;_Datum,
         K23+AVERAGE(F20:F23)*(1+_WR)*(1-(K23-VLOOKUP('Erkrankungs- und Strukturdaten'!$C$45,$D:$M,$K$1,FALSE))/$B$16),
         K25-$B$23*F25),
IF(D24&gt;_Datum,K23+G24,IF(G25="",K25/(K25^(1/N24)),K25-G25)))),"")</f>
        <v>0</v>
      </c>
      <c r="L24" s="64">
        <f>I24/'Erkrankungs- und Strukturdaten'!$C$7</f>
        <v>27.27272727272727</v>
      </c>
      <c r="M24" s="65">
        <f t="shared" si="4"/>
        <v>0</v>
      </c>
      <c r="N24" s="163">
        <v>21</v>
      </c>
      <c r="O24" s="208">
        <f t="shared" si="1"/>
        <v>1</v>
      </c>
    </row>
    <row r="25" spans="1:15" x14ac:dyDescent="0.2">
      <c r="A25" s="120"/>
      <c r="D25" s="63">
        <v>43879</v>
      </c>
      <c r="E25" s="64">
        <f t="shared" si="0"/>
        <v>0</v>
      </c>
      <c r="F25" s="101">
        <v>0</v>
      </c>
      <c r="G25" s="140"/>
      <c r="H25" s="64">
        <f>E25/'Erkrankungs- und Strukturdaten'!$C$7</f>
        <v>0</v>
      </c>
      <c r="I25" s="64">
        <f t="shared" si="3"/>
        <v>15</v>
      </c>
      <c r="J25" s="64">
        <f t="shared" si="2"/>
        <v>0</v>
      </c>
      <c r="K25" s="101">
        <f>IFERROR(IF(D25=_Datum,Prognoseparameter!$C$14,
IF(_WachstumsrateKURZ="Bundesweit",IF(D25&gt;_Datum,
         K24+AVERAGE(F21:F24)*(1+_WR)*(1-(K24-VLOOKUP('Erkrankungs- und Strukturdaten'!$C$45,$D:$M,$K$1,FALSE))/$B$16),
         K26-$B$23*F26),
IF(D25&gt;_Datum,K24+G25,IF(G26="",K26/(K26^(1/N25)),K26-G26)))),"")</f>
        <v>0</v>
      </c>
      <c r="L25" s="64">
        <f>I25/'Erkrankungs- und Strukturdaten'!$C$7</f>
        <v>27.27272727272727</v>
      </c>
      <c r="M25" s="65">
        <f t="shared" si="4"/>
        <v>0</v>
      </c>
      <c r="N25" s="163">
        <v>22</v>
      </c>
      <c r="O25" s="208">
        <f t="shared" si="1"/>
        <v>1</v>
      </c>
    </row>
    <row r="26" spans="1:15" x14ac:dyDescent="0.2">
      <c r="A26" s="83" t="str">
        <f>"Anteil "&amp;_Krankenhaus</f>
        <v>Anteil Spital</v>
      </c>
      <c r="B26" s="84">
        <f>Prognoseparameter!C17*IF(_AusgangswertKURZ="Bevölkerungsanteil",B7,1)</f>
        <v>1</v>
      </c>
      <c r="D26" s="63">
        <v>43880</v>
      </c>
      <c r="E26" s="64">
        <f t="shared" si="0"/>
        <v>0</v>
      </c>
      <c r="F26" s="101">
        <v>0</v>
      </c>
      <c r="G26" s="140"/>
      <c r="H26" s="64">
        <f>E26/'Erkrankungs- und Strukturdaten'!$C$7</f>
        <v>0</v>
      </c>
      <c r="I26" s="64">
        <f t="shared" si="3"/>
        <v>15</v>
      </c>
      <c r="J26" s="64">
        <f t="shared" si="2"/>
        <v>0</v>
      </c>
      <c r="K26" s="101">
        <f>IFERROR(IF(D26=_Datum,Prognoseparameter!$C$14,
IF(_WachstumsrateKURZ="Bundesweit",IF(D26&gt;_Datum,
         K25+AVERAGE(F22:F25)*(1+_WR)*(1-(K25-VLOOKUP('Erkrankungs- und Strukturdaten'!$C$45,$D:$M,$K$1,FALSE))/$B$16),
         K27-$B$23*F27),
IF(D26&gt;_Datum,K25+G26,IF(G27="",K27/(K27^(1/N26)),K27-G27)))),"")</f>
        <v>0</v>
      </c>
      <c r="L26" s="64">
        <f>I26/'Erkrankungs- und Strukturdaten'!$C$7</f>
        <v>27.27272727272727</v>
      </c>
      <c r="M26" s="65">
        <f t="shared" si="4"/>
        <v>0</v>
      </c>
      <c r="N26" s="163">
        <v>23</v>
      </c>
      <c r="O26" s="208">
        <f t="shared" si="1"/>
        <v>1</v>
      </c>
    </row>
    <row r="27" spans="1:15" x14ac:dyDescent="0.2">
      <c r="A27" s="162" t="str">
        <f>"Ausgangswert minus "&amp;Prognoseparameter!U16&amp;" Tage (Fallzahl seit "&amp;TEXT('Erkrankungs- und Strukturdaten'!$C$45,"T.M.JJJJ")&amp;")"</f>
        <v>Ausgangswert minus 4 Tage (Fallzahl seit 18.7.2020)</v>
      </c>
      <c r="B27" s="141">
        <f>IF(_WachstumsrateKURZ="Bundesweit",VLOOKUP(_Datum-Prognoseparameter!U16,D$3:K$1048576,$I$1,FALSE),VLOOKUP(B12-Prognoseparameter!U16,D$3:K$1048576,$J$1+(_AusgangswertKURZ="Regionaler Ausgangswert"),FALSE))
-VLOOKUP('Erkrankungs- und Strukturdaten'!$C$45,$D:$M,$I$1+(_WachstumsrateKURZ&lt;&gt;"Bundesweit")+(_AusgangswertKURZ="Regionaler Ausgangswert"),FALSE)</f>
        <v>652647</v>
      </c>
      <c r="D27" s="63">
        <v>43881</v>
      </c>
      <c r="E27" s="64">
        <f t="shared" si="0"/>
        <v>0</v>
      </c>
      <c r="F27" s="101">
        <v>0</v>
      </c>
      <c r="G27" s="140"/>
      <c r="H27" s="64">
        <f>E27/'Erkrankungs- und Strukturdaten'!$C$7</f>
        <v>0</v>
      </c>
      <c r="I27" s="64">
        <f t="shared" si="3"/>
        <v>15</v>
      </c>
      <c r="J27" s="64">
        <f t="shared" si="2"/>
        <v>0</v>
      </c>
      <c r="K27" s="101">
        <f>IFERROR(IF(D27=_Datum,Prognoseparameter!$C$14,
IF(_WachstumsrateKURZ="Bundesweit",IF(D27&gt;_Datum,
         K26+AVERAGE(F23:F26)*(1+_WR)*(1-(K26-VLOOKUP('Erkrankungs- und Strukturdaten'!$C$45,$D:$M,$K$1,FALSE))/$B$16),
         K28-$B$23*F28),
IF(D27&gt;_Datum,K26+G27,IF(G28="",K28/(K28^(1/N27)),K28-G28)))),"")</f>
        <v>0</v>
      </c>
      <c r="L27" s="64">
        <f>I27/'Erkrankungs- und Strukturdaten'!$C$7</f>
        <v>27.27272727272727</v>
      </c>
      <c r="M27" s="65">
        <f t="shared" si="4"/>
        <v>0</v>
      </c>
      <c r="N27" s="163">
        <v>24</v>
      </c>
      <c r="O27" s="208">
        <f t="shared" si="1"/>
        <v>1</v>
      </c>
    </row>
    <row r="28" spans="1:15" x14ac:dyDescent="0.2">
      <c r="A28" s="162" t="str">
        <f>"Ausgangswert Prognosebeginn  (Fallzahl seit "&amp;TEXT('Erkrankungs- und Strukturdaten'!$C$45,"T.M.JJJJ")&amp;")"</f>
        <v>Ausgangswert Prognosebeginn  (Fallzahl seit 18.7.2020)</v>
      </c>
      <c r="B28" s="141">
        <f>IF(_WachstumsrateKURZ="Bundesweit",VLOOKUP(_Datum,D$3:K$1048576,$I$1,FALSE),VLOOKUP(B12,D$3:K$1048576,$J$1+(_AusgangswertKURZ="Regionaler Ausgangswert"),FALSE))
-VLOOKUP('Erkrankungs- und Strukturdaten'!$C$45,$D:$M,$I$1+(_WachstumsrateKURZ&lt;&gt;"Bundesweit")+(_AusgangswertKURZ="Regionaler Ausgangswert"),FALSE)</f>
        <v>655404</v>
      </c>
      <c r="D28" s="63">
        <v>43882</v>
      </c>
      <c r="E28" s="64">
        <f t="shared" si="0"/>
        <v>0</v>
      </c>
      <c r="F28" s="101">
        <v>0</v>
      </c>
      <c r="G28" s="140"/>
      <c r="H28" s="64">
        <f>E28/'Erkrankungs- und Strukturdaten'!$C$7</f>
        <v>0</v>
      </c>
      <c r="I28" s="64">
        <f t="shared" si="3"/>
        <v>15</v>
      </c>
      <c r="J28" s="64">
        <f t="shared" si="2"/>
        <v>0</v>
      </c>
      <c r="K28" s="101">
        <f>IFERROR(IF(D28=_Datum,Prognoseparameter!$C$14,
IF(_WachstumsrateKURZ="Bundesweit",IF(D28&gt;_Datum,
         K27+AVERAGE(F24:F27)*(1+_WR)*(1-(K27-VLOOKUP('Erkrankungs- und Strukturdaten'!$C$45,$D:$M,$K$1,FALSE))/$B$16),
         K29-$B$23*F29),
IF(D28&gt;_Datum,K27+G28,IF(G29="",K29/(K29^(1/N28)),K29-G29)))),"")</f>
        <v>0</v>
      </c>
      <c r="L28" s="64">
        <f>I28/'Erkrankungs- und Strukturdaten'!$C$7</f>
        <v>27.27272727272727</v>
      </c>
      <c r="M28" s="65">
        <f t="shared" si="4"/>
        <v>0</v>
      </c>
      <c r="N28" s="163">
        <v>25</v>
      </c>
      <c r="O28" s="208">
        <f t="shared" si="1"/>
        <v>1</v>
      </c>
    </row>
    <row r="29" spans="1:15" x14ac:dyDescent="0.2">
      <c r="A29" s="162" t="s">
        <v>101</v>
      </c>
      <c r="B29" s="206">
        <f>IF(_WachstumsrateKURZ=10%,10%,((B28/B27)^(1/Prognoseparameter!U16)-1)/Prognoseparameter!T16)</f>
        <v>1.0544150574582911E-3</v>
      </c>
      <c r="D29" s="63">
        <v>43883</v>
      </c>
      <c r="E29" s="64">
        <f t="shared" si="0"/>
        <v>0</v>
      </c>
      <c r="F29" s="101">
        <v>0</v>
      </c>
      <c r="G29" s="140"/>
      <c r="H29" s="64">
        <f>E29/'Erkrankungs- und Strukturdaten'!$C$7</f>
        <v>0</v>
      </c>
      <c r="I29" s="64">
        <f t="shared" si="3"/>
        <v>15</v>
      </c>
      <c r="J29" s="64">
        <f t="shared" si="2"/>
        <v>0</v>
      </c>
      <c r="K29" s="101">
        <f>IFERROR(IF(D29=_Datum,Prognoseparameter!$C$14,
IF(_WachstumsrateKURZ="Bundesweit",IF(D29&gt;_Datum,
         K28+AVERAGE(F25:F28)*(1+_WR)*(1-(K28-VLOOKUP('Erkrankungs- und Strukturdaten'!$C$45,$D:$M,$K$1,FALSE))/$B$16),
         K30-$B$23*F30),
IF(D29&gt;_Datum,K28+G29,IF(G30="",K30/(K30^(1/N29)),K30-G30)))),"")</f>
        <v>0</v>
      </c>
      <c r="L29" s="64">
        <f>I29/'Erkrankungs- und Strukturdaten'!$C$7</f>
        <v>27.27272727272727</v>
      </c>
      <c r="M29" s="65">
        <f t="shared" si="4"/>
        <v>0</v>
      </c>
      <c r="N29" s="163">
        <v>26</v>
      </c>
      <c r="O29" s="208">
        <f t="shared" si="1"/>
        <v>1</v>
      </c>
    </row>
    <row r="30" spans="1:15" x14ac:dyDescent="0.2">
      <c r="A30" s="143"/>
      <c r="D30" s="63">
        <v>43884</v>
      </c>
      <c r="E30" s="64">
        <f t="shared" si="0"/>
        <v>0</v>
      </c>
      <c r="F30" s="101">
        <v>0</v>
      </c>
      <c r="G30" s="140"/>
      <c r="H30" s="64">
        <f>E30/'Erkrankungs- und Strukturdaten'!$C$7</f>
        <v>0</v>
      </c>
      <c r="I30" s="64">
        <f t="shared" si="3"/>
        <v>15</v>
      </c>
      <c r="J30" s="64">
        <f t="shared" si="2"/>
        <v>0</v>
      </c>
      <c r="K30" s="101">
        <f>IFERROR(IF(D30=_Datum,Prognoseparameter!$C$14,
IF(_WachstumsrateKURZ="Bundesweit",IF(D30&gt;_Datum,
         K29+AVERAGE(F26:F29)*(1+_WR)*(1-(K29-VLOOKUP('Erkrankungs- und Strukturdaten'!$C$45,$D:$M,$K$1,FALSE))/$B$16),
         K31-$B$23*F31),
IF(D30&gt;_Datum,K29+G30,IF(G31="",K31/(K31^(1/N30)),K31-G31)))),"")</f>
        <v>0</v>
      </c>
      <c r="L30" s="64">
        <f>I30/'Erkrankungs- und Strukturdaten'!$C$7</f>
        <v>27.27272727272727</v>
      </c>
      <c r="M30" s="65">
        <f t="shared" si="4"/>
        <v>0</v>
      </c>
      <c r="N30" s="163">
        <v>27</v>
      </c>
      <c r="O30" s="208">
        <f t="shared" si="1"/>
        <v>1</v>
      </c>
    </row>
    <row r="31" spans="1:15" x14ac:dyDescent="0.2">
      <c r="D31" s="63">
        <v>43885</v>
      </c>
      <c r="E31" s="64">
        <f t="shared" si="0"/>
        <v>1</v>
      </c>
      <c r="F31" s="101">
        <v>1</v>
      </c>
      <c r="G31" s="140"/>
      <c r="H31" s="64">
        <f>E31/'Erkrankungs- und Strukturdaten'!$C$7</f>
        <v>1.8181818181818181</v>
      </c>
      <c r="I31" s="64">
        <f t="shared" si="3"/>
        <v>16</v>
      </c>
      <c r="J31" s="64">
        <f t="shared" si="2"/>
        <v>0</v>
      </c>
      <c r="K31" s="101">
        <f>IFERROR(IF(D31=_Datum,Prognoseparameter!$C$14,
IF(_WachstumsrateKURZ="Bundesweit",IF(D31&gt;_Datum,
         K30+AVERAGE(F27:F30)*(1+_WR)*(1-(K30-VLOOKUP('Erkrankungs- und Strukturdaten'!$C$45,$D:$M,$K$1,FALSE))/$B$16),
         K32-$B$23*F32),
IF(D31&gt;_Datum,K30+G31,IF(G32="",K32/(K32^(1/N31)),K32-G32)))),"")</f>
        <v>0</v>
      </c>
      <c r="L31" s="64">
        <f>I31/'Erkrankungs- und Strukturdaten'!$C$7</f>
        <v>29.09090909090909</v>
      </c>
      <c r="M31" s="65">
        <f t="shared" si="4"/>
        <v>6.6666666666666666E-2</v>
      </c>
      <c r="N31" s="163">
        <v>28</v>
      </c>
      <c r="O31" s="208">
        <f t="shared" si="1"/>
        <v>1</v>
      </c>
    </row>
    <row r="32" spans="1:15" x14ac:dyDescent="0.2">
      <c r="A32" s="215" t="s">
        <v>237</v>
      </c>
      <c r="B32" s="214"/>
      <c r="D32" s="63">
        <v>43886</v>
      </c>
      <c r="E32" s="64">
        <f t="shared" si="0"/>
        <v>1</v>
      </c>
      <c r="F32" s="101">
        <v>1</v>
      </c>
      <c r="G32" s="140"/>
      <c r="H32" s="64">
        <f>E32/'Erkrankungs- und Strukturdaten'!$C$7</f>
        <v>1.8181818181818181</v>
      </c>
      <c r="I32" s="64">
        <f t="shared" si="3"/>
        <v>17</v>
      </c>
      <c r="J32" s="64">
        <f t="shared" si="2"/>
        <v>0</v>
      </c>
      <c r="K32" s="101">
        <f>IFERROR(IF(D32=_Datum,Prognoseparameter!$C$14,
IF(_WachstumsrateKURZ="Bundesweit",IF(D32&gt;_Datum,
         K31+AVERAGE(F28:F31)*(1+_WR)*(1-(K31-VLOOKUP('Erkrankungs- und Strukturdaten'!$C$45,$D:$M,$K$1,FALSE))/$B$16),
         K33-$B$23*F33),
IF(D32&gt;_Datum,K31+G32,IF(G33="",K33/(K33^(1/N32)),K33-G33)))),"")</f>
        <v>0</v>
      </c>
      <c r="L32" s="64">
        <f>I32/'Erkrankungs- und Strukturdaten'!$C$7</f>
        <v>30.909090909090907</v>
      </c>
      <c r="M32" s="65">
        <f t="shared" si="4"/>
        <v>6.25E-2</v>
      </c>
      <c r="N32" s="163">
        <v>29</v>
      </c>
      <c r="O32" s="208">
        <f t="shared" si="1"/>
        <v>1</v>
      </c>
    </row>
    <row r="33" spans="1:15" x14ac:dyDescent="0.2">
      <c r="A33" s="211">
        <f>_Datum-7</f>
        <v>44335</v>
      </c>
      <c r="B33" s="141">
        <f t="shared" ref="B33:B39" si="5">AVERAGE(VLOOKUP(A33,D:H,$F$1,FALSE),VLOOKUP(A33-7,D:H,$F$1,FALSE),VLOOKUP(A33-14,D:H,$F$1,FALSE),VLOOKUP(A33-21,D:H,$F$1,FALSE))</f>
        <v>1577</v>
      </c>
      <c r="D33" s="63">
        <v>43887</v>
      </c>
      <c r="E33" s="64">
        <f t="shared" si="0"/>
        <v>10</v>
      </c>
      <c r="F33" s="101">
        <v>10</v>
      </c>
      <c r="G33" s="140"/>
      <c r="H33" s="64">
        <f>E33/'Erkrankungs- und Strukturdaten'!$C$7</f>
        <v>18.18181818181818</v>
      </c>
      <c r="I33" s="64">
        <f t="shared" si="3"/>
        <v>27</v>
      </c>
      <c r="J33" s="64">
        <f t="shared" si="2"/>
        <v>0</v>
      </c>
      <c r="K33" s="101">
        <f>IFERROR(IF(D33=_Datum,Prognoseparameter!$C$14,
IF(_WachstumsrateKURZ="Bundesweit",IF(D33&gt;_Datum,
         K32+AVERAGE(F29:F32)*(1+_WR)*(1-(K32-VLOOKUP('Erkrankungs- und Strukturdaten'!$C$45,$D:$M,$K$1,FALSE))/$B$16),
         K34-$B$23*F34),
IF(D33&gt;_Datum,K32+G33,IF(G34="",K34/(K34^(1/N33)),K34-G34)))),"")</f>
        <v>0</v>
      </c>
      <c r="L33" s="64">
        <f>I33/'Erkrankungs- und Strukturdaten'!$C$7</f>
        <v>49.090909090909086</v>
      </c>
      <c r="M33" s="65">
        <f t="shared" si="4"/>
        <v>0.58823529411764708</v>
      </c>
      <c r="N33" s="163">
        <v>30</v>
      </c>
      <c r="O33" s="208">
        <f t="shared" si="1"/>
        <v>1</v>
      </c>
    </row>
    <row r="34" spans="1:15" x14ac:dyDescent="0.2">
      <c r="A34" s="211">
        <f>A33+1</f>
        <v>44336</v>
      </c>
      <c r="B34" s="141">
        <f t="shared" si="5"/>
        <v>1225.25</v>
      </c>
      <c r="D34" s="63">
        <v>43888</v>
      </c>
      <c r="E34" s="64">
        <f t="shared" si="0"/>
        <v>10</v>
      </c>
      <c r="F34" s="101">
        <v>10</v>
      </c>
      <c r="G34" s="140"/>
      <c r="H34" s="64">
        <f>E34/'Erkrankungs- und Strukturdaten'!$C$7</f>
        <v>18.18181818181818</v>
      </c>
      <c r="I34" s="64">
        <f t="shared" si="3"/>
        <v>37</v>
      </c>
      <c r="J34" s="64">
        <f t="shared" si="2"/>
        <v>0</v>
      </c>
      <c r="K34" s="101">
        <f>IFERROR(IF(D34=_Datum,Prognoseparameter!$C$14,
IF(_WachstumsrateKURZ="Bundesweit",IF(D34&gt;_Datum,
         K33+AVERAGE(F30:F33)*(1+_WR)*(1-(K33-VLOOKUP('Erkrankungs- und Strukturdaten'!$C$45,$D:$M,$K$1,FALSE))/$B$16),
         K35-$B$23*F35),
IF(D34&gt;_Datum,K33+G34,IF(G35="",K35/(K35^(1/N34)),K35-G35)))),"")</f>
        <v>0</v>
      </c>
      <c r="L34" s="64">
        <f>I34/'Erkrankungs- und Strukturdaten'!$C$7</f>
        <v>67.272727272727266</v>
      </c>
      <c r="M34" s="65">
        <f t="shared" si="4"/>
        <v>0.37037037037037035</v>
      </c>
      <c r="N34" s="163">
        <v>31</v>
      </c>
      <c r="O34" s="208">
        <f t="shared" si="1"/>
        <v>1</v>
      </c>
    </row>
    <row r="35" spans="1:15" x14ac:dyDescent="0.2">
      <c r="A35" s="211">
        <f t="shared" ref="A35:A38" si="6">A34+1</f>
        <v>44337</v>
      </c>
      <c r="B35" s="141">
        <f t="shared" si="5"/>
        <v>1349.25</v>
      </c>
      <c r="D35" s="63">
        <v>43889</v>
      </c>
      <c r="E35" s="64">
        <f t="shared" si="0"/>
        <v>10</v>
      </c>
      <c r="F35" s="101">
        <v>10</v>
      </c>
      <c r="G35" s="140"/>
      <c r="H35" s="64">
        <f>E35/'Erkrankungs- und Strukturdaten'!$C$7</f>
        <v>18.18181818181818</v>
      </c>
      <c r="I35" s="64">
        <f t="shared" si="3"/>
        <v>47</v>
      </c>
      <c r="J35" s="64">
        <f t="shared" si="2"/>
        <v>0</v>
      </c>
      <c r="K35" s="101">
        <f>IFERROR(IF(D35=_Datum,Prognoseparameter!$C$14,
IF(_WachstumsrateKURZ="Bundesweit",IF(D35&gt;_Datum,
         K34+AVERAGE(F31:F34)*(1+_WR)*(1-(K34-VLOOKUP('Erkrankungs- und Strukturdaten'!$C$45,$D:$M,$K$1,FALSE))/$B$16),
         K36-$B$23*F36),
IF(D35&gt;_Datum,K34+G35,IF(G36="",K36/(K36^(1/N35)),K36-G36)))),"")</f>
        <v>0</v>
      </c>
      <c r="L35" s="64">
        <f>I35/'Erkrankungs- und Strukturdaten'!$C$7</f>
        <v>85.454545454545453</v>
      </c>
      <c r="M35" s="65">
        <f t="shared" si="4"/>
        <v>0.27027027027027029</v>
      </c>
      <c r="N35" s="163">
        <v>32</v>
      </c>
      <c r="O35" s="208">
        <f t="shared" si="1"/>
        <v>1</v>
      </c>
    </row>
    <row r="36" spans="1:15" x14ac:dyDescent="0.2">
      <c r="A36" s="211">
        <f t="shared" si="6"/>
        <v>44338</v>
      </c>
      <c r="B36" s="141">
        <f t="shared" si="5"/>
        <v>909.75</v>
      </c>
      <c r="D36" s="63">
        <v>43890</v>
      </c>
      <c r="E36" s="64">
        <f t="shared" si="0"/>
        <v>13</v>
      </c>
      <c r="F36" s="101">
        <v>13</v>
      </c>
      <c r="G36" s="140"/>
      <c r="H36" s="64">
        <f>E36/'Erkrankungs- und Strukturdaten'!$C$7</f>
        <v>23.636363636363633</v>
      </c>
      <c r="I36" s="64">
        <f t="shared" si="3"/>
        <v>60</v>
      </c>
      <c r="J36" s="64">
        <f t="shared" si="2"/>
        <v>0</v>
      </c>
      <c r="K36" s="101">
        <f>IFERROR(IF(D36=_Datum,Prognoseparameter!$C$14,
IF(_WachstumsrateKURZ="Bundesweit",IF(D36&gt;_Datum,
         K35+AVERAGE(F32:F35)*(1+_WR)*(1-(K35-VLOOKUP('Erkrankungs- und Strukturdaten'!$C$45,$D:$M,$K$1,FALSE))/$B$16),
         K37-$B$23*F37),
IF(D36&gt;_Datum,K35+G36,IF(G37="",K37/(K37^(1/N36)),K37-G37)))),"")</f>
        <v>0</v>
      </c>
      <c r="L36" s="64">
        <f>I36/'Erkrankungs- und Strukturdaten'!$C$7</f>
        <v>109.09090909090908</v>
      </c>
      <c r="M36" s="65">
        <f t="shared" si="4"/>
        <v>0.27659574468085107</v>
      </c>
      <c r="N36" s="163">
        <v>33</v>
      </c>
      <c r="O36" s="208">
        <f t="shared" si="1"/>
        <v>1</v>
      </c>
    </row>
    <row r="37" spans="1:15" x14ac:dyDescent="0.2">
      <c r="A37" s="211">
        <f t="shared" si="6"/>
        <v>44339</v>
      </c>
      <c r="B37" s="141">
        <f t="shared" si="5"/>
        <v>682.25</v>
      </c>
      <c r="D37" s="63">
        <v>43891</v>
      </c>
      <c r="E37" s="64">
        <f t="shared" si="0"/>
        <v>11</v>
      </c>
      <c r="F37" s="101">
        <v>11</v>
      </c>
      <c r="G37" s="140"/>
      <c r="H37" s="64">
        <f>E37/'Erkrankungs- und Strukturdaten'!$C$7</f>
        <v>20</v>
      </c>
      <c r="I37" s="64">
        <f t="shared" si="3"/>
        <v>71</v>
      </c>
      <c r="J37" s="64">
        <f t="shared" si="2"/>
        <v>0</v>
      </c>
      <c r="K37" s="101">
        <f>IFERROR(IF(D37=_Datum,Prognoseparameter!$C$14,
IF(_WachstumsrateKURZ="Bundesweit",IF(D37&gt;_Datum,
         K36+AVERAGE(F33:F36)*(1+_WR)*(1-(K36-VLOOKUP('Erkrankungs- und Strukturdaten'!$C$45,$D:$M,$K$1,FALSE))/$B$16),
         K38-$B$23*F38),
IF(D37&gt;_Datum,K36+G37,IF(G38="",K38/(K38^(1/N37)),K38-G38)))),"")</f>
        <v>0</v>
      </c>
      <c r="L37" s="64">
        <f>I37/'Erkrankungs- und Strukturdaten'!$C$7</f>
        <v>129.09090909090909</v>
      </c>
      <c r="M37" s="65">
        <f t="shared" si="4"/>
        <v>0.18333333333333332</v>
      </c>
      <c r="N37" s="163">
        <v>34</v>
      </c>
      <c r="O37" s="208">
        <f t="shared" si="1"/>
        <v>1</v>
      </c>
    </row>
    <row r="38" spans="1:15" x14ac:dyDescent="0.2">
      <c r="A38" s="211">
        <f t="shared" si="6"/>
        <v>44340</v>
      </c>
      <c r="B38" s="141">
        <f t="shared" si="5"/>
        <v>1494.75</v>
      </c>
      <c r="D38" s="63">
        <v>43892</v>
      </c>
      <c r="E38" s="64">
        <f t="shared" si="0"/>
        <v>30</v>
      </c>
      <c r="F38" s="101">
        <v>30</v>
      </c>
      <c r="G38" s="140"/>
      <c r="H38" s="64">
        <f>E38/'Erkrankungs- und Strukturdaten'!$C$7</f>
        <v>54.54545454545454</v>
      </c>
      <c r="I38" s="64">
        <f t="shared" si="3"/>
        <v>101</v>
      </c>
      <c r="J38" s="64">
        <f t="shared" si="2"/>
        <v>0</v>
      </c>
      <c r="K38" s="101">
        <f>IFERROR(IF(D38=_Datum,Prognoseparameter!$C$14,
IF(_WachstumsrateKURZ="Bundesweit",IF(D38&gt;_Datum,
         K37+AVERAGE(F34:F37)*(1+_WR)*(1-(K37-VLOOKUP('Erkrankungs- und Strukturdaten'!$C$45,$D:$M,$K$1,FALSE))/$B$16),
         K39-$B$23*F39),
IF(D38&gt;_Datum,K37+G38,IF(G39="",K39/(K39^(1/N38)),K39-G39)))),"")</f>
        <v>0</v>
      </c>
      <c r="L38" s="64">
        <f>I38/'Erkrankungs- und Strukturdaten'!$C$7</f>
        <v>183.63636363636363</v>
      </c>
      <c r="M38" s="65">
        <f t="shared" si="4"/>
        <v>0.42253521126760563</v>
      </c>
      <c r="N38" s="163">
        <v>35</v>
      </c>
      <c r="O38" s="208">
        <f t="shared" si="1"/>
        <v>1</v>
      </c>
    </row>
    <row r="39" spans="1:15" x14ac:dyDescent="0.2">
      <c r="A39" s="211">
        <f>A38+1</f>
        <v>44341</v>
      </c>
      <c r="B39" s="141">
        <f t="shared" si="5"/>
        <v>1393.25</v>
      </c>
      <c r="D39" s="63">
        <v>43893</v>
      </c>
      <c r="E39" s="64">
        <f t="shared" si="0"/>
        <v>33</v>
      </c>
      <c r="F39" s="101">
        <v>33</v>
      </c>
      <c r="G39" s="140"/>
      <c r="H39" s="64">
        <f>E39/'Erkrankungs- und Strukturdaten'!$C$7</f>
        <v>59.999999999999993</v>
      </c>
      <c r="I39" s="64">
        <f t="shared" si="3"/>
        <v>134</v>
      </c>
      <c r="J39" s="64">
        <f t="shared" si="2"/>
        <v>0</v>
      </c>
      <c r="K39" s="101">
        <f>IFERROR(IF(D39=_Datum,Prognoseparameter!$C$14,
IF(_WachstumsrateKURZ="Bundesweit",IF(D39&gt;_Datum,
         K38+AVERAGE(F35:F38)*(1+_WR)*(1-(K38-VLOOKUP('Erkrankungs- und Strukturdaten'!$C$45,$D:$M,$K$1,FALSE))/$B$16),
         K40-$B$23*F40),
IF(D39&gt;_Datum,K38+G39,IF(G40="",K40/(K40^(1/N39)),K40-G40)))),"")</f>
        <v>0</v>
      </c>
      <c r="L39" s="64">
        <f>I39/'Erkrankungs- und Strukturdaten'!$C$7</f>
        <v>243.63636363636363</v>
      </c>
      <c r="M39" s="65">
        <f t="shared" si="4"/>
        <v>0.32673267326732675</v>
      </c>
      <c r="N39" s="163">
        <v>36</v>
      </c>
      <c r="O39" s="208">
        <f t="shared" si="1"/>
        <v>1</v>
      </c>
    </row>
    <row r="40" spans="1:15" x14ac:dyDescent="0.2">
      <c r="A40" s="209"/>
      <c r="B40" s="210"/>
      <c r="D40" s="63">
        <v>43894</v>
      </c>
      <c r="E40" s="64">
        <f t="shared" si="0"/>
        <v>61</v>
      </c>
      <c r="F40" s="101">
        <v>61</v>
      </c>
      <c r="G40" s="140"/>
      <c r="H40" s="64">
        <f>E40/'Erkrankungs- und Strukturdaten'!$C$7</f>
        <v>110.90909090909091</v>
      </c>
      <c r="I40" s="64">
        <f t="shared" si="3"/>
        <v>195</v>
      </c>
      <c r="J40" s="64">
        <f t="shared" si="2"/>
        <v>0</v>
      </c>
      <c r="K40" s="101">
        <f>IFERROR(IF(D40=_Datum,Prognoseparameter!$C$14,
IF(_WachstumsrateKURZ="Bundesweit",IF(D40&gt;_Datum,
         K39+AVERAGE(F36:F39)*(1+_WR)*(1-(K39-VLOOKUP('Erkrankungs- und Strukturdaten'!$C$45,$D:$M,$K$1,FALSE))/$B$16),
         K41-$B$23*F41),
IF(D40&gt;_Datum,K39+G40,IF(G41="",K41/(K41^(1/N40)),K41-G41)))),"")</f>
        <v>0</v>
      </c>
      <c r="L40" s="64">
        <f>I40/'Erkrankungs- und Strukturdaten'!$C$7</f>
        <v>354.5454545454545</v>
      </c>
      <c r="M40" s="65">
        <f t="shared" si="4"/>
        <v>0.45522388059701491</v>
      </c>
      <c r="N40" s="163">
        <v>37</v>
      </c>
      <c r="O40" s="208">
        <f t="shared" si="1"/>
        <v>1</v>
      </c>
    </row>
    <row r="41" spans="1:15" x14ac:dyDescent="0.2">
      <c r="A41" s="215" t="s">
        <v>238</v>
      </c>
      <c r="B41" s="214"/>
      <c r="D41" s="63">
        <v>43895</v>
      </c>
      <c r="E41" s="64">
        <f t="shared" si="0"/>
        <v>62</v>
      </c>
      <c r="F41" s="101">
        <v>62</v>
      </c>
      <c r="G41" s="140"/>
      <c r="H41" s="64">
        <f>E41/'Erkrankungs- und Strukturdaten'!$C$7</f>
        <v>112.72727272727272</v>
      </c>
      <c r="I41" s="64">
        <f t="shared" si="3"/>
        <v>257</v>
      </c>
      <c r="J41" s="64">
        <f t="shared" si="2"/>
        <v>0</v>
      </c>
      <c r="K41" s="101">
        <f>IFERROR(IF(D41=_Datum,Prognoseparameter!$C$14,
IF(_WachstumsrateKURZ="Bundesweit",IF(D41&gt;_Datum,
         K40+AVERAGE(F37:F40)*(1+_WR)*(1-(K40-VLOOKUP('Erkrankungs- und Strukturdaten'!$C$45,$D:$M,$K$1,FALSE))/$B$16),
         K42-$B$23*F42),
IF(D41&gt;_Datum,K40+G41,IF(G42="",K42/(K42^(1/N41)),K42-G42)))),"")</f>
        <v>0</v>
      </c>
      <c r="L41" s="64">
        <f>I41/'Erkrankungs- und Strukturdaten'!$C$7</f>
        <v>467.27272727272725</v>
      </c>
      <c r="M41" s="65">
        <f t="shared" si="4"/>
        <v>0.31794871794871793</v>
      </c>
      <c r="N41" s="163">
        <v>38</v>
      </c>
      <c r="O41" s="208">
        <f t="shared" si="1"/>
        <v>1</v>
      </c>
    </row>
    <row r="42" spans="1:15" x14ac:dyDescent="0.2">
      <c r="A42" s="211">
        <f>_Datum-7</f>
        <v>44335</v>
      </c>
      <c r="B42" s="141">
        <f t="shared" ref="B42:B48" si="7">IF(_Datum-$D$4&gt;=COUNTA(D:D)-COUNTA(G:G)+27,AVERAGE(VLOOKUP(A42,D:H,$G$1,FALSE),VLOOKUP(A42-7,D:H,$G$1,FALSE),VLOOKUP(A42-14,D:H,$G$1,FALSE),VLOOKUP(A42-21,D:H,$G$1,FALSE)),1)</f>
        <v>1</v>
      </c>
      <c r="D42" s="63">
        <v>43896</v>
      </c>
      <c r="E42" s="64">
        <f t="shared" si="0"/>
        <v>73</v>
      </c>
      <c r="F42" s="101">
        <v>73</v>
      </c>
      <c r="G42" s="140"/>
      <c r="H42" s="64">
        <f>E42/'Erkrankungs- und Strukturdaten'!$C$7</f>
        <v>132.72727272727272</v>
      </c>
      <c r="I42" s="64">
        <f t="shared" si="3"/>
        <v>330</v>
      </c>
      <c r="J42" s="64">
        <f t="shared" si="2"/>
        <v>0</v>
      </c>
      <c r="K42" s="101">
        <f>IFERROR(IF(D42=_Datum,Prognoseparameter!$C$14,
IF(_WachstumsrateKURZ="Bundesweit",IF(D42&gt;_Datum,
         K41+AVERAGE(F38:F41)*(1+_WR)*(1-(K41-VLOOKUP('Erkrankungs- und Strukturdaten'!$C$45,$D:$M,$K$1,FALSE))/$B$16),
         K43-$B$23*F43),
IF(D42&gt;_Datum,K41+G42,IF(G43="",K43/(K43^(1/N42)),K43-G43)))),"")</f>
        <v>0</v>
      </c>
      <c r="L42" s="64">
        <f>I42/'Erkrankungs- und Strukturdaten'!$C$7</f>
        <v>600</v>
      </c>
      <c r="M42" s="65">
        <f t="shared" si="4"/>
        <v>0.28404669260700388</v>
      </c>
      <c r="N42" s="163">
        <v>39</v>
      </c>
      <c r="O42" s="208">
        <f t="shared" si="1"/>
        <v>1</v>
      </c>
    </row>
    <row r="43" spans="1:15" x14ac:dyDescent="0.2">
      <c r="A43" s="211">
        <f>A42+1</f>
        <v>44336</v>
      </c>
      <c r="B43" s="141">
        <f t="shared" si="7"/>
        <v>1</v>
      </c>
      <c r="D43" s="63">
        <v>43897</v>
      </c>
      <c r="E43" s="64">
        <f t="shared" si="0"/>
        <v>49</v>
      </c>
      <c r="F43" s="101">
        <v>49</v>
      </c>
      <c r="G43" s="140"/>
      <c r="H43" s="64">
        <f>E43/'Erkrankungs- und Strukturdaten'!$C$7</f>
        <v>89.090909090909079</v>
      </c>
      <c r="I43" s="64">
        <f t="shared" si="3"/>
        <v>379</v>
      </c>
      <c r="J43" s="64">
        <f t="shared" si="2"/>
        <v>0</v>
      </c>
      <c r="K43" s="101">
        <f>IFERROR(IF(D43=_Datum,Prognoseparameter!$C$14,
IF(_WachstumsrateKURZ="Bundesweit",IF(D43&gt;_Datum,
         K42+AVERAGE(F39:F42)*(1+_WR)*(1-(K42-VLOOKUP('Erkrankungs- und Strukturdaten'!$C$45,$D:$M,$K$1,FALSE))/$B$16),
         K44-$B$23*F44),
IF(D43&gt;_Datum,K42+G43,IF(G44="",K44/(K44^(1/N43)),K44-G44)))),"")</f>
        <v>0</v>
      </c>
      <c r="L43" s="64">
        <f>I43/'Erkrankungs- und Strukturdaten'!$C$7</f>
        <v>689.09090909090901</v>
      </c>
      <c r="M43" s="65">
        <f t="shared" si="4"/>
        <v>0.1484848484848485</v>
      </c>
      <c r="N43" s="163">
        <v>40</v>
      </c>
      <c r="O43" s="208">
        <f t="shared" si="1"/>
        <v>1</v>
      </c>
    </row>
    <row r="44" spans="1:15" x14ac:dyDescent="0.2">
      <c r="A44" s="211">
        <f t="shared" ref="A44:A47" si="8">A43+1</f>
        <v>44337</v>
      </c>
      <c r="B44" s="141">
        <f t="shared" si="7"/>
        <v>1</v>
      </c>
      <c r="D44" s="63">
        <v>43898</v>
      </c>
      <c r="E44" s="64">
        <f t="shared" si="0"/>
        <v>68</v>
      </c>
      <c r="F44" s="101">
        <v>68</v>
      </c>
      <c r="G44" s="140"/>
      <c r="H44" s="64">
        <f>E44/'Erkrankungs- und Strukturdaten'!$C$7</f>
        <v>123.63636363636363</v>
      </c>
      <c r="I44" s="64">
        <f t="shared" si="3"/>
        <v>447</v>
      </c>
      <c r="J44" s="64">
        <f t="shared" si="2"/>
        <v>0</v>
      </c>
      <c r="K44" s="101">
        <f>IFERROR(IF(D44=_Datum,Prognoseparameter!$C$14,
IF(_WachstumsrateKURZ="Bundesweit",IF(D44&gt;_Datum,
         K43+AVERAGE(F40:F43)*(1+_WR)*(1-(K43-VLOOKUP('Erkrankungs- und Strukturdaten'!$C$45,$D:$M,$K$1,FALSE))/$B$16),
         K45-$B$23*F45),
IF(D44&gt;_Datum,K43+G44,IF(G45="",K45/(K45^(1/N44)),K45-G45)))),"")</f>
        <v>0</v>
      </c>
      <c r="L44" s="64">
        <f>I44/'Erkrankungs- und Strukturdaten'!$C$7</f>
        <v>812.72727272727263</v>
      </c>
      <c r="M44" s="65">
        <f t="shared" si="4"/>
        <v>0.17941952506596306</v>
      </c>
      <c r="N44" s="163">
        <v>41</v>
      </c>
      <c r="O44" s="208">
        <f t="shared" si="1"/>
        <v>1</v>
      </c>
    </row>
    <row r="45" spans="1:15" x14ac:dyDescent="0.2">
      <c r="A45" s="211">
        <f t="shared" si="8"/>
        <v>44338</v>
      </c>
      <c r="B45" s="141">
        <f t="shared" si="7"/>
        <v>1</v>
      </c>
      <c r="D45" s="63">
        <v>43899</v>
      </c>
      <c r="E45" s="64">
        <f t="shared" si="0"/>
        <v>192</v>
      </c>
      <c r="F45" s="101">
        <v>192</v>
      </c>
      <c r="G45" s="140"/>
      <c r="H45" s="64">
        <f>E45/'Erkrankungs- und Strukturdaten'!$C$7</f>
        <v>349.09090909090907</v>
      </c>
      <c r="I45" s="64">
        <f t="shared" si="3"/>
        <v>639</v>
      </c>
      <c r="J45" s="64">
        <f t="shared" si="2"/>
        <v>0</v>
      </c>
      <c r="K45" s="101">
        <f>IFERROR(IF(D45=_Datum,Prognoseparameter!$C$14,
IF(_WachstumsrateKURZ="Bundesweit",IF(D45&gt;_Datum,
         K44+AVERAGE(F41:F44)*(1+_WR)*(1-(K44-VLOOKUP('Erkrankungs- und Strukturdaten'!$C$45,$D:$M,$K$1,FALSE))/$B$16),
         K46-$B$23*F46),
IF(D45&gt;_Datum,K44+G45,IF(G46="",K46/(K46^(1/N45)),K46-G46)))),"")</f>
        <v>0</v>
      </c>
      <c r="L45" s="64">
        <f>I45/'Erkrankungs- und Strukturdaten'!$C$7</f>
        <v>1161.8181818181818</v>
      </c>
      <c r="M45" s="65">
        <f t="shared" si="4"/>
        <v>0.42953020134228187</v>
      </c>
      <c r="N45" s="163">
        <v>42</v>
      </c>
      <c r="O45" s="208">
        <f t="shared" si="1"/>
        <v>1</v>
      </c>
    </row>
    <row r="46" spans="1:15" x14ac:dyDescent="0.2">
      <c r="A46" s="211">
        <f t="shared" si="8"/>
        <v>44339</v>
      </c>
      <c r="B46" s="141">
        <f t="shared" si="7"/>
        <v>1</v>
      </c>
      <c r="D46" s="63">
        <v>43900</v>
      </c>
      <c r="E46" s="64">
        <f t="shared" si="0"/>
        <v>210</v>
      </c>
      <c r="F46" s="101">
        <v>210</v>
      </c>
      <c r="G46" s="140"/>
      <c r="H46" s="64">
        <f>E46/'Erkrankungs- und Strukturdaten'!$C$7</f>
        <v>381.81818181818181</v>
      </c>
      <c r="I46" s="64">
        <f t="shared" si="3"/>
        <v>849</v>
      </c>
      <c r="J46" s="64">
        <f t="shared" si="2"/>
        <v>0</v>
      </c>
      <c r="K46" s="101">
        <f>IFERROR(IF(D46=_Datum,Prognoseparameter!$C$14,
IF(_WachstumsrateKURZ="Bundesweit",IF(D46&gt;_Datum,
         K45+AVERAGE(F42:F45)*(1+_WR)*(1-(K45-VLOOKUP('Erkrankungs- und Strukturdaten'!$C$45,$D:$M,$K$1,FALSE))/$B$16),
         K47-$B$23*F47),
IF(D46&gt;_Datum,K45+G46,IF(G47="",K47/(K47^(1/N46)),K47-G47)))),"")</f>
        <v>0</v>
      </c>
      <c r="L46" s="64">
        <f>I46/'Erkrankungs- und Strukturdaten'!$C$7</f>
        <v>1543.6363636363635</v>
      </c>
      <c r="M46" s="65">
        <f t="shared" si="4"/>
        <v>0.32863849765258218</v>
      </c>
      <c r="N46" s="163">
        <v>43</v>
      </c>
      <c r="O46" s="208">
        <f t="shared" si="1"/>
        <v>1</v>
      </c>
    </row>
    <row r="47" spans="1:15" x14ac:dyDescent="0.2">
      <c r="A47" s="211">
        <f t="shared" si="8"/>
        <v>44340</v>
      </c>
      <c r="B47" s="141">
        <f t="shared" si="7"/>
        <v>1</v>
      </c>
      <c r="D47" s="63">
        <v>43901</v>
      </c>
      <c r="E47" s="64">
        <f t="shared" si="0"/>
        <v>333</v>
      </c>
      <c r="F47" s="101">
        <v>333</v>
      </c>
      <c r="G47" s="140"/>
      <c r="H47" s="64">
        <f>E47/'Erkrankungs- und Strukturdaten'!$C$7</f>
        <v>605.45454545454538</v>
      </c>
      <c r="I47" s="64">
        <f t="shared" si="3"/>
        <v>1182</v>
      </c>
      <c r="J47" s="64">
        <f t="shared" si="2"/>
        <v>0</v>
      </c>
      <c r="K47" s="101">
        <f>IFERROR(IF(D47=_Datum,Prognoseparameter!$C$14,
IF(_WachstumsrateKURZ="Bundesweit",IF(D47&gt;_Datum,
         K46+AVERAGE(F43:F46)*(1+_WR)*(1-(K46-VLOOKUP('Erkrankungs- und Strukturdaten'!$C$45,$D:$M,$K$1,FALSE))/$B$16),
         K48-$B$23*F48),
IF(D47&gt;_Datum,K46+G47,IF(G48="",K48/(K48^(1/N47)),K48-G48)))),"")</f>
        <v>0</v>
      </c>
      <c r="L47" s="64">
        <f>I47/'Erkrankungs- und Strukturdaten'!$C$7</f>
        <v>2149.090909090909</v>
      </c>
      <c r="M47" s="65">
        <f t="shared" si="4"/>
        <v>0.392226148409894</v>
      </c>
      <c r="N47" s="163">
        <v>44</v>
      </c>
      <c r="O47" s="208">
        <f t="shared" si="1"/>
        <v>1</v>
      </c>
    </row>
    <row r="48" spans="1:15" x14ac:dyDescent="0.2">
      <c r="A48" s="211">
        <f>A47+1</f>
        <v>44341</v>
      </c>
      <c r="B48" s="141">
        <f t="shared" si="7"/>
        <v>1</v>
      </c>
      <c r="D48" s="63">
        <v>43902</v>
      </c>
      <c r="E48" s="64">
        <f t="shared" si="0"/>
        <v>356</v>
      </c>
      <c r="F48" s="101">
        <v>356</v>
      </c>
      <c r="G48" s="140"/>
      <c r="H48" s="64">
        <f>E48/'Erkrankungs- und Strukturdaten'!$C$7</f>
        <v>647.27272727272725</v>
      </c>
      <c r="I48" s="64">
        <f t="shared" si="3"/>
        <v>1538</v>
      </c>
      <c r="J48" s="64">
        <f t="shared" si="2"/>
        <v>0</v>
      </c>
      <c r="K48" s="101">
        <f>IFERROR(IF(D48=_Datum,Prognoseparameter!$C$14,
IF(_WachstumsrateKURZ="Bundesweit",IF(D48&gt;_Datum,
         K47+AVERAGE(F44:F47)*(1+_WR)*(1-(K47-VLOOKUP('Erkrankungs- und Strukturdaten'!$C$45,$D:$M,$K$1,FALSE))/$B$16),
         K49-$B$23*F49),
IF(D48&gt;_Datum,K47+G48,IF(G49="",K49/(K49^(1/N48)),K49-G49)))),"")</f>
        <v>0</v>
      </c>
      <c r="L48" s="64">
        <f>I48/'Erkrankungs- und Strukturdaten'!$C$7</f>
        <v>2796.363636363636</v>
      </c>
      <c r="M48" s="65">
        <f t="shared" si="4"/>
        <v>0.30118443316412857</v>
      </c>
      <c r="N48" s="163">
        <v>45</v>
      </c>
      <c r="O48" s="208">
        <f t="shared" si="1"/>
        <v>1</v>
      </c>
    </row>
    <row r="49" spans="1:15" x14ac:dyDescent="0.2">
      <c r="A49" s="209"/>
      <c r="B49" s="210"/>
      <c r="D49" s="63">
        <v>43903</v>
      </c>
      <c r="E49" s="64">
        <f t="shared" si="0"/>
        <v>431</v>
      </c>
      <c r="F49" s="101">
        <v>431</v>
      </c>
      <c r="G49" s="140"/>
      <c r="H49" s="64">
        <f>E49/'Erkrankungs- und Strukturdaten'!$C$7</f>
        <v>783.63636363636363</v>
      </c>
      <c r="I49" s="64">
        <f t="shared" si="3"/>
        <v>1969</v>
      </c>
      <c r="J49" s="64">
        <f t="shared" si="2"/>
        <v>0</v>
      </c>
      <c r="K49" s="101">
        <f>IFERROR(IF(D49=_Datum,Prognoseparameter!$C$14,
IF(_WachstumsrateKURZ="Bundesweit",IF(D49&gt;_Datum,
         K48+AVERAGE(F45:F48)*(1+_WR)*(1-(K48-VLOOKUP('Erkrankungs- und Strukturdaten'!$C$45,$D:$M,$K$1,FALSE))/$B$16),
         K50-$B$23*F50),
IF(D49&gt;_Datum,K48+G49,IF(G50="",K50/(K50^(1/N49)),K50-G50)))),"")</f>
        <v>0</v>
      </c>
      <c r="L49" s="64">
        <f>I49/'Erkrankungs- und Strukturdaten'!$C$7</f>
        <v>3579.9999999999995</v>
      </c>
      <c r="M49" s="65">
        <f t="shared" si="4"/>
        <v>0.28023407022106633</v>
      </c>
      <c r="N49" s="163">
        <v>46</v>
      </c>
      <c r="O49" s="208">
        <f t="shared" si="1"/>
        <v>1</v>
      </c>
    </row>
    <row r="50" spans="1:15" x14ac:dyDescent="0.2">
      <c r="A50" s="215" t="s">
        <v>236</v>
      </c>
      <c r="B50" s="214"/>
      <c r="D50" s="63">
        <v>43904</v>
      </c>
      <c r="E50" s="64">
        <f t="shared" si="0"/>
        <v>416</v>
      </c>
      <c r="F50" s="101">
        <v>416</v>
      </c>
      <c r="G50" s="140"/>
      <c r="H50" s="64">
        <f>E50/'Erkrankungs- und Strukturdaten'!$C$7</f>
        <v>756.36363636363626</v>
      </c>
      <c r="I50" s="64">
        <f t="shared" si="3"/>
        <v>2385</v>
      </c>
      <c r="J50" s="64">
        <f t="shared" si="2"/>
        <v>0</v>
      </c>
      <c r="K50" s="101">
        <f>IFERROR(IF(D50=_Datum,Prognoseparameter!$C$14,
IF(_WachstumsrateKURZ="Bundesweit",IF(D50&gt;_Datum,
         K49+AVERAGE(F46:F49)*(1+_WR)*(1-(K49-VLOOKUP('Erkrankungs- und Strukturdaten'!$C$45,$D:$M,$K$1,FALSE))/$B$16),
         K51-$B$23*F51),
IF(D50&gt;_Datum,K49+G50,IF(G51="",K51/(K51^(1/N50)),K51-G51)))),"")</f>
        <v>0</v>
      </c>
      <c r="L50" s="64">
        <f>I50/'Erkrankungs- und Strukturdaten'!$C$7</f>
        <v>4336.363636363636</v>
      </c>
      <c r="M50" s="65">
        <f t="shared" si="4"/>
        <v>0.21127475876079227</v>
      </c>
      <c r="N50" s="163">
        <v>47</v>
      </c>
      <c r="O50" s="208">
        <f t="shared" si="1"/>
        <v>1</v>
      </c>
    </row>
    <row r="51" spans="1:15" x14ac:dyDescent="0.2">
      <c r="A51" s="211">
        <f>WEEKDAY(_Datum-7,1)</f>
        <v>4</v>
      </c>
      <c r="B51" s="84">
        <f t="shared" ref="B51:B57" si="9">IF(_WachstumsrateKURZ="Bundesweit",B33/AVERAGE($B$33:$B$39),IF(_WachstumsrateKURZ="Gebietsbezogen",B42/AVERAGE($B$42:$B$48),1))</f>
        <v>1.2789202340265307</v>
      </c>
      <c r="D51" s="63">
        <v>43905</v>
      </c>
      <c r="E51" s="64">
        <f t="shared" si="0"/>
        <v>326</v>
      </c>
      <c r="F51" s="101">
        <v>326</v>
      </c>
      <c r="G51" s="140"/>
      <c r="H51" s="64">
        <f>E51/'Erkrankungs- und Strukturdaten'!$C$7</f>
        <v>592.72727272727263</v>
      </c>
      <c r="I51" s="64">
        <f t="shared" si="3"/>
        <v>2711</v>
      </c>
      <c r="J51" s="64">
        <f t="shared" si="2"/>
        <v>0</v>
      </c>
      <c r="K51" s="101">
        <f>IFERROR(IF(D51=_Datum,Prognoseparameter!$C$14,
IF(_WachstumsrateKURZ="Bundesweit",IF(D51&gt;_Datum,
         K50+AVERAGE(F47:F50)*(1+_WR)*(1-(K50-VLOOKUP('Erkrankungs- und Strukturdaten'!$C$45,$D:$M,$K$1,FALSE))/$B$16),
         K52-$B$23*F52),
IF(D51&gt;_Datum,K50+G51,IF(G52="",K52/(K52^(1/N51)),K52-G52)))),"")</f>
        <v>0</v>
      </c>
      <c r="L51" s="64">
        <f>I51/'Erkrankungs- und Strukturdaten'!$C$7</f>
        <v>4929.090909090909</v>
      </c>
      <c r="M51" s="65">
        <f t="shared" si="4"/>
        <v>0.13668763102725368</v>
      </c>
      <c r="N51" s="163">
        <v>48</v>
      </c>
      <c r="O51" s="208">
        <f t="shared" si="1"/>
        <v>1</v>
      </c>
    </row>
    <row r="52" spans="1:15" x14ac:dyDescent="0.2">
      <c r="A52" s="211">
        <f>WEEKDAY(A51+1,1)</f>
        <v>5</v>
      </c>
      <c r="B52" s="84">
        <f t="shared" si="9"/>
        <v>0.99365695417945887</v>
      </c>
      <c r="D52" s="63">
        <v>43906</v>
      </c>
      <c r="E52" s="64">
        <f t="shared" si="0"/>
        <v>1060</v>
      </c>
      <c r="F52" s="101">
        <v>1060</v>
      </c>
      <c r="G52" s="140"/>
      <c r="H52" s="64">
        <f>E52/'Erkrankungs- und Strukturdaten'!$C$7</f>
        <v>1927.272727272727</v>
      </c>
      <c r="I52" s="64">
        <f t="shared" si="3"/>
        <v>3771</v>
      </c>
      <c r="J52" s="64">
        <f t="shared" si="2"/>
        <v>0</v>
      </c>
      <c r="K52" s="101">
        <f>IFERROR(IF(D52=_Datum,Prognoseparameter!$C$14,
IF(_WachstumsrateKURZ="Bundesweit",IF(D52&gt;_Datum,
         K51+AVERAGE(F48:F51)*(1+_WR)*(1-(K51-VLOOKUP('Erkrankungs- und Strukturdaten'!$C$45,$D:$M,$K$1,FALSE))/$B$16),
         K53-$B$23*F53),
IF(D52&gt;_Datum,K51+G52,IF(G53="",K53/(K53^(1/N52)),K53-G53)))),"")</f>
        <v>0</v>
      </c>
      <c r="L52" s="64">
        <f>I52/'Erkrankungs- und Strukturdaten'!$C$7</f>
        <v>6856.363636363636</v>
      </c>
      <c r="M52" s="65">
        <f t="shared" si="4"/>
        <v>0.39099963113242348</v>
      </c>
      <c r="N52" s="163">
        <v>49</v>
      </c>
      <c r="O52" s="208">
        <f t="shared" si="1"/>
        <v>1</v>
      </c>
    </row>
    <row r="53" spans="1:15" x14ac:dyDescent="0.2">
      <c r="A53" s="211">
        <f t="shared" ref="A53:A57" si="10">WEEKDAY(A52+1,1)</f>
        <v>6</v>
      </c>
      <c r="B53" s="84">
        <f t="shared" si="9"/>
        <v>1.0942188495626484</v>
      </c>
      <c r="D53" s="63">
        <v>43907</v>
      </c>
      <c r="E53" s="64">
        <f t="shared" si="0"/>
        <v>1082</v>
      </c>
      <c r="F53" s="101">
        <v>1082</v>
      </c>
      <c r="G53" s="140"/>
      <c r="H53" s="64">
        <f>E53/'Erkrankungs- und Strukturdaten'!$C$7</f>
        <v>1967.272727272727</v>
      </c>
      <c r="I53" s="64">
        <f t="shared" si="3"/>
        <v>4853</v>
      </c>
      <c r="J53" s="64">
        <f t="shared" si="2"/>
        <v>0</v>
      </c>
      <c r="K53" s="101">
        <f>IFERROR(IF(D53=_Datum,Prognoseparameter!$C$14,
IF(_WachstumsrateKURZ="Bundesweit",IF(D53&gt;_Datum,
         K52+AVERAGE(F49:F52)*(1+_WR)*(1-(K52-VLOOKUP('Erkrankungs- und Strukturdaten'!$C$45,$D:$M,$K$1,FALSE))/$B$16),
         K54-$B$23*F54),
IF(D53&gt;_Datum,K52+G53,IF(G54="",K54/(K54^(1/N53)),K54-G54)))),"")</f>
        <v>0</v>
      </c>
      <c r="L53" s="64">
        <f>I53/'Erkrankungs- und Strukturdaten'!$C$7</f>
        <v>8823.6363636363621</v>
      </c>
      <c r="M53" s="65">
        <f t="shared" si="4"/>
        <v>0.28692654468310791</v>
      </c>
      <c r="N53" s="163">
        <v>50</v>
      </c>
      <c r="O53" s="208">
        <f t="shared" si="1"/>
        <v>1</v>
      </c>
    </row>
    <row r="54" spans="1:15" x14ac:dyDescent="0.2">
      <c r="A54" s="211">
        <f t="shared" si="10"/>
        <v>7</v>
      </c>
      <c r="B54" s="84">
        <f t="shared" si="9"/>
        <v>0.73779180907142439</v>
      </c>
      <c r="D54" s="63">
        <v>43908</v>
      </c>
      <c r="E54" s="64">
        <f t="shared" si="0"/>
        <v>1205</v>
      </c>
      <c r="F54" s="101">
        <v>1205</v>
      </c>
      <c r="G54" s="140"/>
      <c r="H54" s="64">
        <f>E54/'Erkrankungs- und Strukturdaten'!$C$7</f>
        <v>2190.9090909090905</v>
      </c>
      <c r="I54" s="64">
        <f t="shared" si="3"/>
        <v>6058</v>
      </c>
      <c r="J54" s="64">
        <f t="shared" si="2"/>
        <v>0</v>
      </c>
      <c r="K54" s="101">
        <f>IFERROR(IF(D54=_Datum,Prognoseparameter!$C$14,
IF(_WachstumsrateKURZ="Bundesweit",IF(D54&gt;_Datum,
         K53+AVERAGE(F50:F53)*(1+_WR)*(1-(K53-VLOOKUP('Erkrankungs- und Strukturdaten'!$C$45,$D:$M,$K$1,FALSE))/$B$16),
         K55-$B$23*F55),
IF(D54&gt;_Datum,K53+G54,IF(G55="",K55/(K55^(1/N54)),K55-G55)))),"")</f>
        <v>0</v>
      </c>
      <c r="L54" s="64">
        <f>I54/'Erkrankungs- und Strukturdaten'!$C$7</f>
        <v>11014.545454545454</v>
      </c>
      <c r="M54" s="65">
        <f t="shared" si="4"/>
        <v>0.24830002060581083</v>
      </c>
      <c r="N54" s="163">
        <v>51</v>
      </c>
      <c r="O54" s="208">
        <f t="shared" si="1"/>
        <v>1</v>
      </c>
    </row>
    <row r="55" spans="1:15" x14ac:dyDescent="0.2">
      <c r="A55" s="211">
        <f t="shared" si="10"/>
        <v>1</v>
      </c>
      <c r="B55" s="84">
        <f t="shared" si="9"/>
        <v>0.5532931703643631</v>
      </c>
      <c r="D55" s="66">
        <v>43909</v>
      </c>
      <c r="E55" s="64">
        <f t="shared" si="0"/>
        <v>835</v>
      </c>
      <c r="F55" s="101">
        <v>835</v>
      </c>
      <c r="G55" s="140"/>
      <c r="H55" s="64">
        <f>E55/'Erkrankungs- und Strukturdaten'!$C$7</f>
        <v>1518.181818181818</v>
      </c>
      <c r="I55" s="64">
        <f t="shared" si="3"/>
        <v>6893</v>
      </c>
      <c r="J55" s="64">
        <f t="shared" si="2"/>
        <v>0</v>
      </c>
      <c r="K55" s="101">
        <f>IFERROR(IF(D55=_Datum,Prognoseparameter!$C$14,
IF(_WachstumsrateKURZ="Bundesweit",IF(D55&gt;_Datum,
         K54+AVERAGE(F51:F54)*(1+_WR)*(1-(K54-VLOOKUP('Erkrankungs- und Strukturdaten'!$C$45,$D:$M,$K$1,FALSE))/$B$16),
         K56-$B$23*F56),
IF(D55&gt;_Datum,K54+G55,IF(G56="",K56/(K56^(1/N55)),K56-G56)))),"")</f>
        <v>0</v>
      </c>
      <c r="L55" s="64">
        <f>I55/'Erkrankungs- und Strukturdaten'!$C$7</f>
        <v>12532.727272727272</v>
      </c>
      <c r="M55" s="65">
        <f t="shared" si="4"/>
        <v>0.13783426873555629</v>
      </c>
      <c r="N55" s="163">
        <v>52</v>
      </c>
      <c r="O55" s="208">
        <f t="shared" si="1"/>
        <v>1</v>
      </c>
    </row>
    <row r="56" spans="1:15" x14ac:dyDescent="0.2">
      <c r="A56" s="211">
        <f t="shared" si="10"/>
        <v>2</v>
      </c>
      <c r="B56" s="84">
        <f t="shared" si="9"/>
        <v>1.2122168800324393</v>
      </c>
      <c r="D56" s="66">
        <v>43910</v>
      </c>
      <c r="E56" s="64">
        <f t="shared" si="0"/>
        <v>1139</v>
      </c>
      <c r="F56" s="101">
        <v>1139</v>
      </c>
      <c r="G56" s="140"/>
      <c r="H56" s="64">
        <f>E56/'Erkrankungs- und Strukturdaten'!$C$7</f>
        <v>2070.9090909090905</v>
      </c>
      <c r="I56" s="64">
        <f t="shared" si="3"/>
        <v>8032</v>
      </c>
      <c r="J56" s="64">
        <f t="shared" si="2"/>
        <v>0</v>
      </c>
      <c r="K56" s="101">
        <f>IFERROR(IF(D56=_Datum,Prognoseparameter!$C$14,
IF(_WachstumsrateKURZ="Bundesweit",IF(D56&gt;_Datum,
         K55+AVERAGE(F52:F55)*(1+_WR)*(1-(K55-VLOOKUP('Erkrankungs- und Strukturdaten'!$C$45,$D:$M,$K$1,FALSE))/$B$16),
         K57-$B$23*F57),
IF(D56&gt;_Datum,K55+G56,IF(G57="",K57/(K57^(1/N56)),K57-G57)))),"")</f>
        <v>0</v>
      </c>
      <c r="L56" s="64">
        <f>I56/'Erkrankungs- und Strukturdaten'!$C$7</f>
        <v>14603.636363636362</v>
      </c>
      <c r="M56" s="65">
        <f t="shared" si="4"/>
        <v>0.16524009865080516</v>
      </c>
      <c r="N56" s="163">
        <v>53</v>
      </c>
      <c r="O56" s="208">
        <f t="shared" si="1"/>
        <v>1</v>
      </c>
    </row>
    <row r="57" spans="1:15" x14ac:dyDescent="0.2">
      <c r="A57" s="211">
        <f t="shared" si="10"/>
        <v>3</v>
      </c>
      <c r="B57" s="84">
        <f t="shared" si="9"/>
        <v>1.1299021027631349</v>
      </c>
      <c r="D57" s="66">
        <v>43911</v>
      </c>
      <c r="E57" s="64">
        <f t="shared" si="0"/>
        <v>691</v>
      </c>
      <c r="F57" s="101">
        <v>691</v>
      </c>
      <c r="G57" s="140"/>
      <c r="H57" s="64">
        <f>E57/'Erkrankungs- und Strukturdaten'!$C$7</f>
        <v>1256.3636363636363</v>
      </c>
      <c r="I57" s="64">
        <f t="shared" si="3"/>
        <v>8723</v>
      </c>
      <c r="J57" s="64">
        <f t="shared" si="2"/>
        <v>0</v>
      </c>
      <c r="K57" s="101">
        <f>IFERROR(IF(D57=_Datum,Prognoseparameter!$C$14,
IF(_WachstumsrateKURZ="Bundesweit",IF(D57&gt;_Datum,
         K56+AVERAGE(F53:F56)*(1+_WR)*(1-(K56-VLOOKUP('Erkrankungs- und Strukturdaten'!$C$45,$D:$M,$K$1,FALSE))/$B$16),
         K58-$B$23*F58),
IF(D57&gt;_Datum,K56+G57,IF(G58="",K58/(K58^(1/N57)),K58-G58)))),"")</f>
        <v>0</v>
      </c>
      <c r="L57" s="64">
        <f>I57/'Erkrankungs- und Strukturdaten'!$C$7</f>
        <v>15859.999999999998</v>
      </c>
      <c r="M57" s="65">
        <f t="shared" si="4"/>
        <v>8.6030876494023911E-2</v>
      </c>
      <c r="N57" s="163">
        <v>54</v>
      </c>
      <c r="O57" s="208">
        <f t="shared" si="1"/>
        <v>1</v>
      </c>
    </row>
    <row r="58" spans="1:15" x14ac:dyDescent="0.2">
      <c r="D58" s="86">
        <v>43912</v>
      </c>
      <c r="E58" s="64">
        <f t="shared" si="0"/>
        <v>546</v>
      </c>
      <c r="F58" s="101">
        <v>546</v>
      </c>
      <c r="G58" s="140"/>
      <c r="H58" s="64">
        <f>E58/'Erkrankungs- und Strukturdaten'!$C$7</f>
        <v>992.72727272727263</v>
      </c>
      <c r="I58" s="64">
        <f t="shared" si="3"/>
        <v>9269</v>
      </c>
      <c r="J58" s="64">
        <f t="shared" si="2"/>
        <v>0</v>
      </c>
      <c r="K58" s="101">
        <f>IFERROR(IF(D58=_Datum,Prognoseparameter!$C$14,
IF(_WachstumsrateKURZ="Bundesweit",IF(D58&gt;_Datum,
         K57+AVERAGE(F54:F57)*(1+_WR)*(1-(K57-VLOOKUP('Erkrankungs- und Strukturdaten'!$C$45,$D:$M,$K$1,FALSE))/$B$16),
         K59-$B$23*F59),
IF(D58&gt;_Datum,K57+G58,IF(G59="",K59/(K59^(1/N58)),K59-G59)))),"")</f>
        <v>0</v>
      </c>
      <c r="L58" s="64">
        <f>I58/'Erkrankungs- und Strukturdaten'!$C$7</f>
        <v>16852.727272727272</v>
      </c>
      <c r="M58" s="65">
        <f t="shared" si="4"/>
        <v>6.259314456035768E-2</v>
      </c>
      <c r="N58" s="163">
        <v>55</v>
      </c>
      <c r="O58" s="208">
        <f t="shared" si="1"/>
        <v>1</v>
      </c>
    </row>
    <row r="59" spans="1:15" x14ac:dyDescent="0.2">
      <c r="D59" s="86">
        <v>43913</v>
      </c>
      <c r="E59" s="64">
        <f t="shared" si="0"/>
        <v>1461</v>
      </c>
      <c r="F59" s="101">
        <v>1461</v>
      </c>
      <c r="G59" s="140"/>
      <c r="H59" s="64">
        <f>E59/'Erkrankungs- und Strukturdaten'!$C$7</f>
        <v>2656.363636363636</v>
      </c>
      <c r="I59" s="64">
        <f t="shared" si="3"/>
        <v>10730</v>
      </c>
      <c r="J59" s="64">
        <f t="shared" si="2"/>
        <v>0</v>
      </c>
      <c r="K59" s="101">
        <f>IFERROR(IF(D59=_Datum,Prognoseparameter!$C$14,
IF(_WachstumsrateKURZ="Bundesweit",IF(D59&gt;_Datum,
         K58+AVERAGE(F55:F58)*(1+_WR)*(1-(K58-VLOOKUP('Erkrankungs- und Strukturdaten'!$C$45,$D:$M,$K$1,FALSE))/$B$16),
         K60-$B$23*F60),
IF(D59&gt;_Datum,K58+G59,IF(G60="",K60/(K60^(1/N59)),K60-G60)))),"")</f>
        <v>0</v>
      </c>
      <c r="L59" s="64">
        <f>I59/'Erkrankungs- und Strukturdaten'!$C$7</f>
        <v>19509.090909090908</v>
      </c>
      <c r="M59" s="65">
        <f t="shared" si="4"/>
        <v>0.15762218146509871</v>
      </c>
      <c r="N59" s="163">
        <v>56</v>
      </c>
      <c r="O59" s="208">
        <f t="shared" si="1"/>
        <v>1</v>
      </c>
    </row>
    <row r="60" spans="1:15" x14ac:dyDescent="0.2">
      <c r="D60" s="86">
        <v>43914</v>
      </c>
      <c r="E60" s="64">
        <f t="shared" si="0"/>
        <v>1241</v>
      </c>
      <c r="F60" s="101">
        <v>1241</v>
      </c>
      <c r="G60" s="140"/>
      <c r="H60" s="64">
        <f>E60/'Erkrankungs- und Strukturdaten'!$C$7</f>
        <v>2256.363636363636</v>
      </c>
      <c r="I60" s="64">
        <f t="shared" si="3"/>
        <v>11971</v>
      </c>
      <c r="J60" s="64">
        <f t="shared" si="2"/>
        <v>0</v>
      </c>
      <c r="K60" s="101">
        <f>IFERROR(IF(D60=_Datum,Prognoseparameter!$C$14,
IF(_WachstumsrateKURZ="Bundesweit",IF(D60&gt;_Datum,
         K59+AVERAGE(F56:F59)*(1+_WR)*(1-(K59-VLOOKUP('Erkrankungs- und Strukturdaten'!$C$45,$D:$M,$K$1,FALSE))/$B$16),
         K61-$B$23*F61),
IF(D60&gt;_Datum,K59+G60,IF(G61="",K61/(K61^(1/N60)),K61-G61)))),"")</f>
        <v>0</v>
      </c>
      <c r="L60" s="64">
        <f>I60/'Erkrankungs- und Strukturdaten'!$C$7</f>
        <v>21765.454545454544</v>
      </c>
      <c r="M60" s="65">
        <f t="shared" si="4"/>
        <v>0.11565703634669151</v>
      </c>
      <c r="N60" s="163">
        <v>57</v>
      </c>
      <c r="O60" s="208">
        <f t="shared" si="1"/>
        <v>1</v>
      </c>
    </row>
    <row r="61" spans="1:15" x14ac:dyDescent="0.2">
      <c r="D61" s="86">
        <v>43915</v>
      </c>
      <c r="E61" s="64">
        <f t="shared" si="0"/>
        <v>1069</v>
      </c>
      <c r="F61" s="101">
        <v>1069</v>
      </c>
      <c r="G61" s="140"/>
      <c r="H61" s="64">
        <f>E61/'Erkrankungs- und Strukturdaten'!$C$7</f>
        <v>1943.6363636363635</v>
      </c>
      <c r="I61" s="64">
        <f t="shared" si="3"/>
        <v>13040</v>
      </c>
      <c r="J61" s="64">
        <f t="shared" si="2"/>
        <v>0</v>
      </c>
      <c r="K61" s="101">
        <f>IFERROR(IF(D61=_Datum,Prognoseparameter!$C$14,
IF(_WachstumsrateKURZ="Bundesweit",IF(D61&gt;_Datum,
         K60+AVERAGE(F57:F60)*(1+_WR)*(1-(K60-VLOOKUP('Erkrankungs- und Strukturdaten'!$C$45,$D:$M,$K$1,FALSE))/$B$16),
         K62-$B$23*F62),
IF(D61&gt;_Datum,K60+G61,IF(G62="",K62/(K62^(1/N61)),K62-G62)))),"")</f>
        <v>0</v>
      </c>
      <c r="L61" s="64">
        <f>I61/'Erkrankungs- und Strukturdaten'!$C$7</f>
        <v>23709.090909090908</v>
      </c>
      <c r="M61" s="65">
        <f t="shared" si="4"/>
        <v>8.9299139587336068E-2</v>
      </c>
      <c r="N61" s="163">
        <v>58</v>
      </c>
      <c r="O61" s="208">
        <f t="shared" si="1"/>
        <v>1</v>
      </c>
    </row>
    <row r="62" spans="1:15" x14ac:dyDescent="0.2">
      <c r="D62" s="86">
        <v>43916</v>
      </c>
      <c r="E62" s="64">
        <f t="shared" si="0"/>
        <v>1114</v>
      </c>
      <c r="F62" s="101">
        <v>1114</v>
      </c>
      <c r="G62" s="140"/>
      <c r="H62" s="64">
        <f>E62/'Erkrankungs- und Strukturdaten'!$C$7</f>
        <v>2025.4545454545453</v>
      </c>
      <c r="I62" s="64">
        <f t="shared" si="3"/>
        <v>14154</v>
      </c>
      <c r="J62" s="64">
        <f t="shared" si="2"/>
        <v>0</v>
      </c>
      <c r="K62" s="101">
        <f>IFERROR(IF(D62=_Datum,Prognoseparameter!$C$14,
IF(_WachstumsrateKURZ="Bundesweit",IF(D62&gt;_Datum,
         K61+AVERAGE(F58:F61)*(1+_WR)*(1-(K61-VLOOKUP('Erkrankungs- und Strukturdaten'!$C$45,$D:$M,$K$1,FALSE))/$B$16),
         K63-$B$23*F63),
IF(D62&gt;_Datum,K61+G62,IF(G63="",K63/(K63^(1/N62)),K63-G63)))),"")</f>
        <v>0</v>
      </c>
      <c r="L62" s="64">
        <f>I62/'Erkrankungs- und Strukturdaten'!$C$7</f>
        <v>25734.545454545452</v>
      </c>
      <c r="M62" s="65">
        <f t="shared" si="4"/>
        <v>8.5429447852760743E-2</v>
      </c>
      <c r="N62" s="163">
        <v>59</v>
      </c>
      <c r="O62" s="208">
        <f t="shared" si="1"/>
        <v>1</v>
      </c>
    </row>
    <row r="63" spans="1:15" x14ac:dyDescent="0.2">
      <c r="D63" s="86">
        <v>43917</v>
      </c>
      <c r="E63" s="64">
        <f t="shared" si="0"/>
        <v>1307</v>
      </c>
      <c r="F63" s="101">
        <v>1307</v>
      </c>
      <c r="G63" s="140"/>
      <c r="H63" s="64">
        <f>E63/'Erkrankungs- und Strukturdaten'!$C$7</f>
        <v>2376.363636363636</v>
      </c>
      <c r="I63" s="64">
        <f t="shared" si="3"/>
        <v>15461</v>
      </c>
      <c r="J63" s="64">
        <f t="shared" si="2"/>
        <v>0</v>
      </c>
      <c r="K63" s="101">
        <f>IFERROR(IF(D63=_Datum,Prognoseparameter!$C$14,
IF(_WachstumsrateKURZ="Bundesweit",IF(D63&gt;_Datum,
         K62+AVERAGE(F59:F62)*(1+_WR)*(1-(K62-VLOOKUP('Erkrankungs- und Strukturdaten'!$C$45,$D:$M,$K$1,FALSE))/$B$16),
         K64-$B$23*F64),
IF(D63&gt;_Datum,K62+G63,IF(G64="",K64/(K64^(1/N63)),K64-G64)))),"")</f>
        <v>0</v>
      </c>
      <c r="L63" s="64">
        <f>I63/'Erkrankungs- und Strukturdaten'!$C$7</f>
        <v>28110.909090909088</v>
      </c>
      <c r="M63" s="65">
        <f t="shared" si="4"/>
        <v>9.2341387593613114E-2</v>
      </c>
      <c r="N63" s="163">
        <v>60</v>
      </c>
      <c r="O63" s="208">
        <f t="shared" si="1"/>
        <v>1</v>
      </c>
    </row>
    <row r="64" spans="1:15" ht="12.95" customHeight="1" x14ac:dyDescent="0.2">
      <c r="A64" s="179"/>
      <c r="B64" s="179"/>
      <c r="D64" s="86">
        <v>43918</v>
      </c>
      <c r="E64" s="64">
        <f t="shared" si="0"/>
        <v>722</v>
      </c>
      <c r="F64" s="101">
        <v>722</v>
      </c>
      <c r="G64" s="140"/>
      <c r="H64" s="64">
        <f>E64/'Erkrankungs- und Strukturdaten'!$C$7</f>
        <v>1312.7272727272725</v>
      </c>
      <c r="I64" s="64">
        <f t="shared" si="3"/>
        <v>16183</v>
      </c>
      <c r="J64" s="64">
        <f t="shared" si="2"/>
        <v>0</v>
      </c>
      <c r="K64" s="101">
        <f>IFERROR(IF(D64=_Datum,Prognoseparameter!$C$14,
IF(_WachstumsrateKURZ="Bundesweit",IF(D64&gt;_Datum,
         K63+AVERAGE(F60:F63)*(1+_WR)*(1-(K63-VLOOKUP('Erkrankungs- und Strukturdaten'!$C$45,$D:$M,$K$1,FALSE))/$B$16),
         K65-$B$23*F65),
IF(D64&gt;_Datum,K63+G64,IF(G65="",K65/(K65^(1/N64)),K65-G65)))),"")</f>
        <v>0</v>
      </c>
      <c r="L64" s="64">
        <f>I64/'Erkrankungs- und Strukturdaten'!$C$7</f>
        <v>29423.63636363636</v>
      </c>
      <c r="M64" s="65">
        <f t="shared" si="4"/>
        <v>4.6698143716447836E-2</v>
      </c>
      <c r="N64" s="163">
        <v>61</v>
      </c>
      <c r="O64" s="208">
        <f t="shared" si="1"/>
        <v>1</v>
      </c>
    </row>
    <row r="65" spans="1:15" ht="12.95" customHeight="1" x14ac:dyDescent="0.2">
      <c r="A65" s="179"/>
      <c r="B65" s="179"/>
      <c r="D65" s="86">
        <v>43919</v>
      </c>
      <c r="E65" s="64">
        <f t="shared" si="0"/>
        <v>433</v>
      </c>
      <c r="F65" s="101">
        <v>433</v>
      </c>
      <c r="G65" s="140"/>
      <c r="H65" s="64">
        <f>E65/'Erkrankungs- und Strukturdaten'!$C$7</f>
        <v>787.27272727272725</v>
      </c>
      <c r="I65" s="64">
        <f t="shared" si="3"/>
        <v>16616</v>
      </c>
      <c r="J65" s="64">
        <f t="shared" si="2"/>
        <v>0</v>
      </c>
      <c r="K65" s="101">
        <f>IFERROR(IF(D65=_Datum,Prognoseparameter!$C$14,
IF(_WachstumsrateKURZ="Bundesweit",IF(D65&gt;_Datum,
         K64+AVERAGE(F61:F64)*(1+_WR)*(1-(K64-VLOOKUP('Erkrankungs- und Strukturdaten'!$C$45,$D:$M,$K$1,FALSE))/$B$16),
         K66-$B$23*F66),
IF(D65&gt;_Datum,K64+G65,IF(G66="",K66/(K66^(1/N65)),K66-G66)))),"")</f>
        <v>0</v>
      </c>
      <c r="L65" s="64">
        <f>I65/'Erkrankungs- und Strukturdaten'!$C$7</f>
        <v>30210.909090909088</v>
      </c>
      <c r="M65" s="65">
        <f t="shared" si="4"/>
        <v>2.6756472841871101E-2</v>
      </c>
      <c r="N65" s="163">
        <v>62</v>
      </c>
      <c r="O65" s="208">
        <f t="shared" si="1"/>
        <v>1</v>
      </c>
    </row>
    <row r="66" spans="1:15" ht="12.95" customHeight="1" x14ac:dyDescent="0.2">
      <c r="A66" s="179"/>
      <c r="B66" s="179"/>
      <c r="D66" s="86">
        <v>43920</v>
      </c>
      <c r="E66" s="64">
        <f t="shared" si="0"/>
        <v>1307</v>
      </c>
      <c r="F66" s="101">
        <v>1307</v>
      </c>
      <c r="G66" s="140"/>
      <c r="H66" s="64">
        <f>E66/'Erkrankungs- und Strukturdaten'!$C$7</f>
        <v>2376.363636363636</v>
      </c>
      <c r="I66" s="64">
        <f t="shared" si="3"/>
        <v>17923</v>
      </c>
      <c r="J66" s="64">
        <f t="shared" si="2"/>
        <v>0</v>
      </c>
      <c r="K66" s="101">
        <f>IFERROR(IF(D66=_Datum,Prognoseparameter!$C$14,
IF(_WachstumsrateKURZ="Bundesweit",IF(D66&gt;_Datum,
         K65+AVERAGE(F62:F65)*(1+_WR)*(1-(K65-VLOOKUP('Erkrankungs- und Strukturdaten'!$C$45,$D:$M,$K$1,FALSE))/$B$16),
         K67-$B$23*F67),
IF(D66&gt;_Datum,K65+G66,IF(G67="",K67/(K67^(1/N66)),K67-G67)))),"")</f>
        <v>0</v>
      </c>
      <c r="L66" s="64">
        <f>I66/'Erkrankungs- und Strukturdaten'!$C$7</f>
        <v>32587.272727272724</v>
      </c>
      <c r="M66" s="65">
        <f t="shared" si="4"/>
        <v>7.8659123736157924E-2</v>
      </c>
      <c r="N66" s="163">
        <v>63</v>
      </c>
      <c r="O66" s="208">
        <f t="shared" si="1"/>
        <v>1</v>
      </c>
    </row>
    <row r="67" spans="1:15" ht="12.95" customHeight="1" x14ac:dyDescent="0.2">
      <c r="A67" s="179"/>
      <c r="B67" s="179"/>
      <c r="D67" s="86">
        <v>43921</v>
      </c>
      <c r="E67" s="64">
        <f t="shared" si="0"/>
        <v>1135</v>
      </c>
      <c r="F67" s="101">
        <v>1135</v>
      </c>
      <c r="G67" s="140"/>
      <c r="H67" s="64">
        <f>E67/'Erkrankungs- und Strukturdaten'!$C$7</f>
        <v>2063.6363636363635</v>
      </c>
      <c r="I67" s="64">
        <f t="shared" si="3"/>
        <v>19058</v>
      </c>
      <c r="J67" s="64">
        <f t="shared" si="2"/>
        <v>0</v>
      </c>
      <c r="K67" s="101">
        <f>IFERROR(IF(D67=_Datum,Prognoseparameter!$C$14,
IF(_WachstumsrateKURZ="Bundesweit",IF(D67&gt;_Datum,
         K66+AVERAGE(F63:F66)*(1+_WR)*(1-(K66-VLOOKUP('Erkrankungs- und Strukturdaten'!$C$45,$D:$M,$K$1,FALSE))/$B$16),
         K68-$B$23*F68),
IF(D67&gt;_Datum,K66+G67,IF(G68="",K68/(K68^(1/N67)),K68-G68)))),"")</f>
        <v>0</v>
      </c>
      <c r="L67" s="64">
        <f>I67/'Erkrankungs- und Strukturdaten'!$C$7</f>
        <v>34650.909090909088</v>
      </c>
      <c r="M67" s="65">
        <f t="shared" si="4"/>
        <v>6.3326452044858567E-2</v>
      </c>
      <c r="N67" s="163">
        <v>64</v>
      </c>
      <c r="O67" s="208">
        <f t="shared" si="1"/>
        <v>1</v>
      </c>
    </row>
    <row r="68" spans="1:15" x14ac:dyDescent="0.2">
      <c r="A68" s="179"/>
      <c r="B68" s="179"/>
      <c r="D68" s="86">
        <v>43922</v>
      </c>
      <c r="E68" s="64">
        <f t="shared" ref="E68:E131" si="11">IF(_AusgangswertKURZ="Bevölkerungsanteil",
$B$26*IF(F68=ROUNDDOWN(F68,0),F68,F68*VLOOKUP(WEEKDAY($D68,1),$A$51:$B$57,$B$1,FALSE)),
$B$17*IF(G68=ROUNDDOWN(G68,0),G68,G68*VLOOKUP(WEEKDAY($D68,1),$A$51:$B$57,$B$1,FALSE)))</f>
        <v>1013</v>
      </c>
      <c r="F68" s="101">
        <v>1013</v>
      </c>
      <c r="G68" s="140"/>
      <c r="H68" s="64">
        <f>E68/'Erkrankungs- und Strukturdaten'!$C$7</f>
        <v>1841.8181818181818</v>
      </c>
      <c r="I68" s="64">
        <f t="shared" si="3"/>
        <v>20071</v>
      </c>
      <c r="J68" s="64">
        <f t="shared" si="2"/>
        <v>0</v>
      </c>
      <c r="K68" s="101">
        <f>IFERROR(IF(D68=_Datum,Prognoseparameter!$C$14,
IF(_WachstumsrateKURZ="Bundesweit",IF(D68&gt;_Datum,
         K67+AVERAGE(F64:F67)*(1+_WR)*(1-(K67-VLOOKUP('Erkrankungs- und Strukturdaten'!$C$45,$D:$M,$K$1,FALSE))/$B$16),
         K69-$B$23*F69),
IF(D68&gt;_Datum,K67+G68,IF(G69="",K69/(K69^(1/N68)),K69-G69)))),"")</f>
        <v>0</v>
      </c>
      <c r="L68" s="64">
        <f>I68/'Erkrankungs- und Strukturdaten'!$C$7</f>
        <v>36492.727272727272</v>
      </c>
      <c r="M68" s="65">
        <f t="shared" si="4"/>
        <v>5.315353132542764E-2</v>
      </c>
      <c r="N68" s="163">
        <v>65</v>
      </c>
      <c r="O68" s="208">
        <f t="shared" ref="O68:O131" si="12">IF(F68=ROUNDDOWN(F68,0),1,0)</f>
        <v>1</v>
      </c>
    </row>
    <row r="69" spans="1:15" x14ac:dyDescent="0.2">
      <c r="A69" s="179"/>
      <c r="B69" s="179"/>
      <c r="D69" s="86">
        <v>43923</v>
      </c>
      <c r="E69" s="64">
        <f t="shared" si="11"/>
        <v>877</v>
      </c>
      <c r="F69" s="101">
        <v>877</v>
      </c>
      <c r="G69" s="140"/>
      <c r="H69" s="64">
        <f>E69/'Erkrankungs- und Strukturdaten'!$C$7</f>
        <v>1594.5454545454545</v>
      </c>
      <c r="I69" s="64">
        <f t="shared" si="3"/>
        <v>20948</v>
      </c>
      <c r="J69" s="64">
        <f t="shared" ref="J69:J132" si="13">J68+G69</f>
        <v>0</v>
      </c>
      <c r="K69" s="101">
        <f>IFERROR(IF(D69=_Datum,Prognoseparameter!$C$14,
IF(_WachstumsrateKURZ="Bundesweit",IF(D69&gt;_Datum,
         K68+AVERAGE(F65:F68)*(1+_WR)*(1-(K68-VLOOKUP('Erkrankungs- und Strukturdaten'!$C$45,$D:$M,$K$1,FALSE))/$B$16),
         K70-$B$23*F70),
IF(D69&gt;_Datum,K68+G69,IF(G70="",K70/(K70^(1/N69)),K70-G70)))),"")</f>
        <v>0</v>
      </c>
      <c r="L69" s="64">
        <f>I69/'Erkrankungs- und Strukturdaten'!$C$7</f>
        <v>38087.272727272721</v>
      </c>
      <c r="M69" s="65">
        <f t="shared" si="4"/>
        <v>4.3694883164765087E-2</v>
      </c>
      <c r="N69" s="163">
        <v>66</v>
      </c>
      <c r="O69" s="208">
        <f t="shared" si="12"/>
        <v>1</v>
      </c>
    </row>
    <row r="70" spans="1:15" ht="12.95" customHeight="1" x14ac:dyDescent="0.2">
      <c r="A70" s="179"/>
      <c r="B70" s="179"/>
      <c r="D70" s="86">
        <v>43924</v>
      </c>
      <c r="E70" s="64">
        <f t="shared" si="11"/>
        <v>927</v>
      </c>
      <c r="F70" s="101">
        <v>927</v>
      </c>
      <c r="G70" s="140"/>
      <c r="H70" s="64">
        <f>E70/'Erkrankungs- und Strukturdaten'!$C$7</f>
        <v>1685.4545454545453</v>
      </c>
      <c r="I70" s="64">
        <f t="shared" ref="I70:I133" si="14">I69+F70</f>
        <v>21875</v>
      </c>
      <c r="J70" s="64">
        <f t="shared" si="13"/>
        <v>0</v>
      </c>
      <c r="K70" s="101">
        <f>IFERROR(IF(D70=_Datum,Prognoseparameter!$C$14,
IF(_WachstumsrateKURZ="Bundesweit",IF(D70&gt;_Datum,
         K69+AVERAGE(F66:F69)*(1+_WR)*(1-(K69-VLOOKUP('Erkrankungs- und Strukturdaten'!$C$45,$D:$M,$K$1,FALSE))/$B$16),
         K71-$B$23*F71),
IF(D70&gt;_Datum,K69+G70,IF(G71="",K71/(K71^(1/N70)),K71-G71)))),"")</f>
        <v>0</v>
      </c>
      <c r="L70" s="64">
        <f>I70/'Erkrankungs- und Strukturdaten'!$C$7</f>
        <v>39772.727272727272</v>
      </c>
      <c r="M70" s="65">
        <f t="shared" ref="M70:M133" si="15">IFERROR((I70-I69)/I69,0)</f>
        <v>4.425243459996181E-2</v>
      </c>
      <c r="N70" s="163">
        <v>67</v>
      </c>
      <c r="O70" s="208">
        <f t="shared" si="12"/>
        <v>1</v>
      </c>
    </row>
    <row r="71" spans="1:15" ht="12.95" customHeight="1" x14ac:dyDescent="0.2">
      <c r="A71" s="179"/>
      <c r="B71" s="179"/>
      <c r="D71" s="86">
        <v>43925</v>
      </c>
      <c r="E71" s="64">
        <f t="shared" si="11"/>
        <v>486</v>
      </c>
      <c r="F71" s="101">
        <v>486</v>
      </c>
      <c r="G71" s="140"/>
      <c r="H71" s="64">
        <f>E71/'Erkrankungs- und Strukturdaten'!$C$7</f>
        <v>883.63636363636351</v>
      </c>
      <c r="I71" s="64">
        <f t="shared" si="14"/>
        <v>22361</v>
      </c>
      <c r="J71" s="64">
        <f t="shared" si="13"/>
        <v>0</v>
      </c>
      <c r="K71" s="101">
        <f>IFERROR(IF(D71=_Datum,Prognoseparameter!$C$14,
IF(_WachstumsrateKURZ="Bundesweit",IF(D71&gt;_Datum,
         K70+AVERAGE(F67:F70)*(1+_WR)*(1-(K70-VLOOKUP('Erkrankungs- und Strukturdaten'!$C$45,$D:$M,$K$1,FALSE))/$B$16),
         K72-$B$23*F72),
IF(D71&gt;_Datum,K70+G71,IF(G72="",K72/(K72^(1/N71)),K72-G72)))),"")</f>
        <v>0</v>
      </c>
      <c r="L71" s="64">
        <f>I71/'Erkrankungs- und Strukturdaten'!$C$7</f>
        <v>40656.363636363632</v>
      </c>
      <c r="M71" s="65">
        <f t="shared" si="15"/>
        <v>2.2217142857142855E-2</v>
      </c>
      <c r="N71" s="163">
        <v>68</v>
      </c>
      <c r="O71" s="208">
        <f t="shared" si="12"/>
        <v>1</v>
      </c>
    </row>
    <row r="72" spans="1:15" x14ac:dyDescent="0.2">
      <c r="A72" s="179"/>
      <c r="B72" s="179"/>
      <c r="D72" s="86">
        <v>43926</v>
      </c>
      <c r="E72" s="64">
        <f t="shared" si="11"/>
        <v>282</v>
      </c>
      <c r="F72" s="101">
        <v>282</v>
      </c>
      <c r="G72" s="140"/>
      <c r="H72" s="64">
        <f>E72/'Erkrankungs- und Strukturdaten'!$C$7</f>
        <v>512.72727272727263</v>
      </c>
      <c r="I72" s="64">
        <f t="shared" si="14"/>
        <v>22643</v>
      </c>
      <c r="J72" s="64">
        <f t="shared" si="13"/>
        <v>0</v>
      </c>
      <c r="K72" s="101">
        <f>IFERROR(IF(D72=_Datum,Prognoseparameter!$C$14,
IF(_WachstumsrateKURZ="Bundesweit",IF(D72&gt;_Datum,
         K71+AVERAGE(F68:F71)*(1+_WR)*(1-(K71-VLOOKUP('Erkrankungs- und Strukturdaten'!$C$45,$D:$M,$K$1,FALSE))/$B$16),
         K73-$B$23*F73),
IF(D72&gt;_Datum,K71+G72,IF(G73="",K73/(K73^(1/N72)),K73-G73)))),"")</f>
        <v>0</v>
      </c>
      <c r="L72" s="64">
        <f>I72/'Erkrankungs- und Strukturdaten'!$C$7</f>
        <v>41169.090909090904</v>
      </c>
      <c r="M72" s="65">
        <f t="shared" si="15"/>
        <v>1.2611242788784043E-2</v>
      </c>
      <c r="N72" s="163">
        <v>69</v>
      </c>
      <c r="O72" s="208">
        <f t="shared" si="12"/>
        <v>1</v>
      </c>
    </row>
    <row r="73" spans="1:15" ht="12.95" customHeight="1" x14ac:dyDescent="0.2">
      <c r="A73" s="179"/>
      <c r="B73" s="179"/>
      <c r="D73" s="86">
        <v>43927</v>
      </c>
      <c r="E73" s="64">
        <f t="shared" si="11"/>
        <v>924</v>
      </c>
      <c r="F73" s="101">
        <v>924</v>
      </c>
      <c r="G73" s="140"/>
      <c r="H73" s="64">
        <f>E73/'Erkrankungs- und Strukturdaten'!$C$7</f>
        <v>1679.9999999999998</v>
      </c>
      <c r="I73" s="64">
        <f t="shared" si="14"/>
        <v>23567</v>
      </c>
      <c r="J73" s="64">
        <f t="shared" si="13"/>
        <v>0</v>
      </c>
      <c r="K73" s="101">
        <f>IFERROR(IF(D73=_Datum,Prognoseparameter!$C$14,
IF(_WachstumsrateKURZ="Bundesweit",IF(D73&gt;_Datum,
         K72+AVERAGE(F69:F72)*(1+_WR)*(1-(K72-VLOOKUP('Erkrankungs- und Strukturdaten'!$C$45,$D:$M,$K$1,FALSE))/$B$16),
         K74-$B$23*F74),
IF(D73&gt;_Datum,K72+G73,IF(G74="",K74/(K74^(1/N73)),K74-G74)))),"")</f>
        <v>0</v>
      </c>
      <c r="L73" s="64">
        <f>I73/'Erkrankungs- und Strukturdaten'!$C$7</f>
        <v>42849.090909090904</v>
      </c>
      <c r="M73" s="65">
        <f t="shared" si="15"/>
        <v>4.0807313518526699E-2</v>
      </c>
      <c r="N73" s="163">
        <v>70</v>
      </c>
      <c r="O73" s="208">
        <f t="shared" si="12"/>
        <v>1</v>
      </c>
    </row>
    <row r="74" spans="1:15" ht="12.95" customHeight="1" x14ac:dyDescent="0.2">
      <c r="A74" s="179"/>
      <c r="B74" s="179"/>
      <c r="D74" s="86">
        <v>43928</v>
      </c>
      <c r="E74" s="64">
        <f t="shared" si="11"/>
        <v>715</v>
      </c>
      <c r="F74" s="101">
        <v>715</v>
      </c>
      <c r="G74" s="140"/>
      <c r="H74" s="64">
        <f>E74/'Erkrankungs- und Strukturdaten'!$C$7</f>
        <v>1300</v>
      </c>
      <c r="I74" s="64">
        <f t="shared" si="14"/>
        <v>24282</v>
      </c>
      <c r="J74" s="64">
        <f t="shared" si="13"/>
        <v>0</v>
      </c>
      <c r="K74" s="101">
        <f>IFERROR(IF(D74=_Datum,Prognoseparameter!$C$14,
IF(_WachstumsrateKURZ="Bundesweit",IF(D74&gt;_Datum,
         K73+AVERAGE(F70:F73)*(1+_WR)*(1-(K73-VLOOKUP('Erkrankungs- und Strukturdaten'!$C$45,$D:$M,$K$1,FALSE))/$B$16),
         K75-$B$23*F75),
IF(D74&gt;_Datum,K73+G74,IF(G75="",K75/(K75^(1/N74)),K75-G75)))),"")</f>
        <v>0</v>
      </c>
      <c r="L74" s="64">
        <f>I74/'Erkrankungs- und Strukturdaten'!$C$7</f>
        <v>44149.090909090904</v>
      </c>
      <c r="M74" s="65">
        <f t="shared" si="15"/>
        <v>3.033903339415284E-2</v>
      </c>
      <c r="N74" s="163">
        <v>71</v>
      </c>
      <c r="O74" s="208">
        <f t="shared" si="12"/>
        <v>1</v>
      </c>
    </row>
    <row r="75" spans="1:15" x14ac:dyDescent="0.2">
      <c r="A75" s="179"/>
      <c r="B75" s="179"/>
      <c r="D75" s="86">
        <v>43929</v>
      </c>
      <c r="E75" s="64">
        <f t="shared" si="11"/>
        <v>612</v>
      </c>
      <c r="F75" s="101">
        <v>612</v>
      </c>
      <c r="G75" s="140"/>
      <c r="H75" s="64">
        <f>E75/'Erkrankungs- und Strukturdaten'!$C$7</f>
        <v>1112.7272727272727</v>
      </c>
      <c r="I75" s="64">
        <f t="shared" si="14"/>
        <v>24894</v>
      </c>
      <c r="J75" s="64">
        <f t="shared" si="13"/>
        <v>0</v>
      </c>
      <c r="K75" s="101">
        <f>IFERROR(IF(D75=_Datum,Prognoseparameter!$C$14,
IF(_WachstumsrateKURZ="Bundesweit",IF(D75&gt;_Datum,
         K74+AVERAGE(F71:F74)*(1+_WR)*(1-(K74-VLOOKUP('Erkrankungs- und Strukturdaten'!$C$45,$D:$M,$K$1,FALSE))/$B$16),
         K76-$B$23*F76),
IF(D75&gt;_Datum,K74+G75,IF(G76="",K76/(K76^(1/N75)),K76-G76)))),"")</f>
        <v>0</v>
      </c>
      <c r="L75" s="64">
        <f>I75/'Erkrankungs- und Strukturdaten'!$C$7</f>
        <v>45261.818181818177</v>
      </c>
      <c r="M75" s="65">
        <f t="shared" si="15"/>
        <v>2.5203854707190512E-2</v>
      </c>
      <c r="N75" s="163">
        <v>72</v>
      </c>
      <c r="O75" s="208">
        <f t="shared" si="12"/>
        <v>1</v>
      </c>
    </row>
    <row r="76" spans="1:15" ht="12.95" customHeight="1" x14ac:dyDescent="0.2">
      <c r="A76" s="179"/>
      <c r="B76" s="179"/>
      <c r="D76" s="86">
        <v>43930</v>
      </c>
      <c r="E76" s="64">
        <f t="shared" si="11"/>
        <v>560</v>
      </c>
      <c r="F76" s="101">
        <v>560</v>
      </c>
      <c r="G76" s="140"/>
      <c r="H76" s="64">
        <f>E76/'Erkrankungs- und Strukturdaten'!$C$7</f>
        <v>1018.1818181818181</v>
      </c>
      <c r="I76" s="64">
        <f t="shared" si="14"/>
        <v>25454</v>
      </c>
      <c r="J76" s="64">
        <f t="shared" si="13"/>
        <v>0</v>
      </c>
      <c r="K76" s="101">
        <f>IFERROR(IF(D76=_Datum,Prognoseparameter!$C$14,
IF(_WachstumsrateKURZ="Bundesweit",IF(D76&gt;_Datum,
         K75+AVERAGE(F72:F75)*(1+_WR)*(1-(K75-VLOOKUP('Erkrankungs- und Strukturdaten'!$C$45,$D:$M,$K$1,FALSE))/$B$16),
         K77-$B$23*F77),
IF(D76&gt;_Datum,K75+G76,IF(G77="",K77/(K77^(1/N76)),K77-G77)))),"")</f>
        <v>0</v>
      </c>
      <c r="L76" s="64">
        <f>I76/'Erkrankungs- und Strukturdaten'!$C$7</f>
        <v>46279.999999999993</v>
      </c>
      <c r="M76" s="65">
        <f t="shared" si="15"/>
        <v>2.2495380412950912E-2</v>
      </c>
      <c r="N76" s="163">
        <v>73</v>
      </c>
      <c r="O76" s="208">
        <f t="shared" si="12"/>
        <v>1</v>
      </c>
    </row>
    <row r="77" spans="1:15" ht="12.95" customHeight="1" x14ac:dyDescent="0.2">
      <c r="A77" s="179"/>
      <c r="B77" s="179"/>
      <c r="D77" s="86">
        <v>43931</v>
      </c>
      <c r="E77" s="64">
        <f t="shared" si="11"/>
        <v>309</v>
      </c>
      <c r="F77" s="101">
        <v>309</v>
      </c>
      <c r="G77" s="140"/>
      <c r="H77" s="64">
        <f>E77/'Erkrankungs- und Strukturdaten'!$C$7</f>
        <v>561.81818181818176</v>
      </c>
      <c r="I77" s="64">
        <f t="shared" si="14"/>
        <v>25763</v>
      </c>
      <c r="J77" s="64">
        <f t="shared" si="13"/>
        <v>0</v>
      </c>
      <c r="K77" s="101">
        <f>IFERROR(IF(D77=_Datum,Prognoseparameter!$C$14,
IF(_WachstumsrateKURZ="Bundesweit",IF(D77&gt;_Datum,
         K76+AVERAGE(F73:F76)*(1+_WR)*(1-(K76-VLOOKUP('Erkrankungs- und Strukturdaten'!$C$45,$D:$M,$K$1,FALSE))/$B$16),
         K78-$B$23*F78),
IF(D77&gt;_Datum,K76+G77,IF(G78="",K78/(K78^(1/N77)),K78-G78)))),"")</f>
        <v>0</v>
      </c>
      <c r="L77" s="64">
        <f>I77/'Erkrankungs- und Strukturdaten'!$C$7</f>
        <v>46841.818181818177</v>
      </c>
      <c r="M77" s="65">
        <f t="shared" si="15"/>
        <v>1.2139545847411016E-2</v>
      </c>
      <c r="N77" s="163">
        <v>74</v>
      </c>
      <c r="O77" s="208">
        <f t="shared" si="12"/>
        <v>1</v>
      </c>
    </row>
    <row r="78" spans="1:15" x14ac:dyDescent="0.2">
      <c r="A78" s="179"/>
      <c r="B78" s="179"/>
      <c r="D78" s="86">
        <v>43932</v>
      </c>
      <c r="E78" s="64">
        <f t="shared" si="11"/>
        <v>260</v>
      </c>
      <c r="F78" s="101">
        <v>260</v>
      </c>
      <c r="G78" s="140"/>
      <c r="H78" s="64">
        <f>E78/'Erkrankungs- und Strukturdaten'!$C$7</f>
        <v>472.72727272727269</v>
      </c>
      <c r="I78" s="64">
        <f t="shared" si="14"/>
        <v>26023</v>
      </c>
      <c r="J78" s="64">
        <f t="shared" si="13"/>
        <v>0</v>
      </c>
      <c r="K78" s="101">
        <f>IFERROR(IF(D78=_Datum,Prognoseparameter!$C$14,
IF(_WachstumsrateKURZ="Bundesweit",IF(D78&gt;_Datum,
         K77+AVERAGE(F74:F77)*(1+_WR)*(1-(K77-VLOOKUP('Erkrankungs- und Strukturdaten'!$C$45,$D:$M,$K$1,FALSE))/$B$16),
         K79-$B$23*F79),
IF(D78&gt;_Datum,K77+G78,IF(G79="",K79/(K79^(1/N78)),K79-G79)))),"")</f>
        <v>0</v>
      </c>
      <c r="L78" s="64">
        <f>I78/'Erkrankungs- und Strukturdaten'!$C$7</f>
        <v>47314.545454545449</v>
      </c>
      <c r="M78" s="65">
        <f t="shared" si="15"/>
        <v>1.0091992392190351E-2</v>
      </c>
      <c r="N78" s="163">
        <v>75</v>
      </c>
      <c r="O78" s="208">
        <f t="shared" si="12"/>
        <v>1</v>
      </c>
    </row>
    <row r="79" spans="1:15" x14ac:dyDescent="0.2">
      <c r="A79" s="179"/>
      <c r="B79" s="179"/>
      <c r="D79" s="86">
        <v>43933</v>
      </c>
      <c r="E79" s="64">
        <f t="shared" si="11"/>
        <v>219</v>
      </c>
      <c r="F79" s="101">
        <v>219</v>
      </c>
      <c r="G79" s="140"/>
      <c r="H79" s="64">
        <f>E79/'Erkrankungs- und Strukturdaten'!$C$7</f>
        <v>398.18181818181813</v>
      </c>
      <c r="I79" s="64">
        <f t="shared" si="14"/>
        <v>26242</v>
      </c>
      <c r="J79" s="64">
        <f t="shared" si="13"/>
        <v>0</v>
      </c>
      <c r="K79" s="101">
        <f>IFERROR(IF(D79=_Datum,Prognoseparameter!$C$14,
IF(_WachstumsrateKURZ="Bundesweit",IF(D79&gt;_Datum,
         K78+AVERAGE(F75:F78)*(1+_WR)*(1-(K78-VLOOKUP('Erkrankungs- und Strukturdaten'!$C$45,$D:$M,$K$1,FALSE))/$B$16),
         K80-$B$23*F80),
IF(D79&gt;_Datum,K78+G79,IF(G80="",K80/(K80^(1/N79)),K80-G80)))),"")</f>
        <v>0</v>
      </c>
      <c r="L79" s="64">
        <f>I79/'Erkrankungs- und Strukturdaten'!$C$7</f>
        <v>47712.727272727272</v>
      </c>
      <c r="M79" s="65">
        <f t="shared" si="15"/>
        <v>8.4156323252507406E-3</v>
      </c>
      <c r="N79" s="163">
        <v>76</v>
      </c>
      <c r="O79" s="208">
        <f t="shared" si="12"/>
        <v>1</v>
      </c>
    </row>
    <row r="80" spans="1:15" x14ac:dyDescent="0.2">
      <c r="A80" s="179"/>
      <c r="B80" s="179"/>
      <c r="D80" s="86">
        <v>43934</v>
      </c>
      <c r="E80" s="64">
        <f t="shared" si="11"/>
        <v>245</v>
      </c>
      <c r="F80" s="101">
        <v>245</v>
      </c>
      <c r="G80" s="140"/>
      <c r="H80" s="64">
        <f>E80/'Erkrankungs- und Strukturdaten'!$C$7</f>
        <v>445.45454545454544</v>
      </c>
      <c r="I80" s="64">
        <f t="shared" si="14"/>
        <v>26487</v>
      </c>
      <c r="J80" s="64">
        <f t="shared" si="13"/>
        <v>0</v>
      </c>
      <c r="K80" s="101">
        <f>IFERROR(IF(D80=_Datum,Prognoseparameter!$C$14,
IF(_WachstumsrateKURZ="Bundesweit",IF(D80&gt;_Datum,
         K79+AVERAGE(F76:F79)*(1+_WR)*(1-(K79-VLOOKUP('Erkrankungs- und Strukturdaten'!$C$45,$D:$M,$K$1,FALSE))/$B$16),
         K81-$B$23*F81),
IF(D80&gt;_Datum,K79+G80,IF(G81="",K81/(K81^(1/N80)),K81-G81)))),"")</f>
        <v>0</v>
      </c>
      <c r="L80" s="64">
        <f>I80/'Erkrankungs- und Strukturdaten'!$C$7</f>
        <v>48158.181818181816</v>
      </c>
      <c r="M80" s="65">
        <f t="shared" si="15"/>
        <v>9.3361786449203572E-3</v>
      </c>
      <c r="N80" s="163">
        <v>77</v>
      </c>
      <c r="O80" s="208">
        <f t="shared" si="12"/>
        <v>1</v>
      </c>
    </row>
    <row r="81" spans="1:15" x14ac:dyDescent="0.2">
      <c r="A81" s="179"/>
      <c r="B81" s="179"/>
      <c r="D81" s="86">
        <v>43935</v>
      </c>
      <c r="E81" s="64">
        <f t="shared" si="11"/>
        <v>424</v>
      </c>
      <c r="F81" s="101">
        <v>424</v>
      </c>
      <c r="G81" s="140"/>
      <c r="H81" s="64">
        <f>E81/'Erkrankungs- und Strukturdaten'!$C$7</f>
        <v>770.90909090909088</v>
      </c>
      <c r="I81" s="64">
        <f t="shared" si="14"/>
        <v>26911</v>
      </c>
      <c r="J81" s="64">
        <f t="shared" si="13"/>
        <v>0</v>
      </c>
      <c r="K81" s="101">
        <f>IFERROR(IF(D81=_Datum,Prognoseparameter!$C$14,
IF(_WachstumsrateKURZ="Bundesweit",IF(D81&gt;_Datum,
         K80+AVERAGE(F77:F80)*(1+_WR)*(1-(K80-VLOOKUP('Erkrankungs- und Strukturdaten'!$C$45,$D:$M,$K$1,FALSE))/$B$16),
         K82-$B$23*F82),
IF(D81&gt;_Datum,K80+G81,IF(G82="",K82/(K82^(1/N81)),K82-G82)))),"")</f>
        <v>0</v>
      </c>
      <c r="L81" s="64">
        <f>I81/'Erkrankungs- und Strukturdaten'!$C$7</f>
        <v>48929.090909090904</v>
      </c>
      <c r="M81" s="65">
        <f t="shared" si="15"/>
        <v>1.6007852908974215E-2</v>
      </c>
      <c r="N81" s="163">
        <v>78</v>
      </c>
      <c r="O81" s="208">
        <f t="shared" si="12"/>
        <v>1</v>
      </c>
    </row>
    <row r="82" spans="1:15" x14ac:dyDescent="0.2">
      <c r="A82" s="179"/>
      <c r="B82" s="179"/>
      <c r="D82" s="86">
        <v>43936</v>
      </c>
      <c r="E82" s="64">
        <f t="shared" si="11"/>
        <v>328</v>
      </c>
      <c r="F82" s="101">
        <v>328</v>
      </c>
      <c r="G82" s="140"/>
      <c r="H82" s="64">
        <f>E82/'Erkrankungs- und Strukturdaten'!$C$7</f>
        <v>596.36363636363626</v>
      </c>
      <c r="I82" s="64">
        <f t="shared" si="14"/>
        <v>27239</v>
      </c>
      <c r="J82" s="64">
        <f t="shared" si="13"/>
        <v>0</v>
      </c>
      <c r="K82" s="101">
        <f>IFERROR(IF(D82=_Datum,Prognoseparameter!$C$14,
IF(_WachstumsrateKURZ="Bundesweit",IF(D82&gt;_Datum,
         K81+AVERAGE(F78:F81)*(1+_WR)*(1-(K81-VLOOKUP('Erkrankungs- und Strukturdaten'!$C$45,$D:$M,$K$1,FALSE))/$B$16),
         K83-$B$23*F83),
IF(D82&gt;_Datum,K81+G82,IF(G83="",K83/(K83^(1/N82)),K83-G83)))),"")</f>
        <v>0</v>
      </c>
      <c r="L82" s="64">
        <f>I82/'Erkrankungs- und Strukturdaten'!$C$7</f>
        <v>49525.454545454544</v>
      </c>
      <c r="M82" s="65">
        <f t="shared" si="15"/>
        <v>1.2188324476979673E-2</v>
      </c>
      <c r="N82" s="163">
        <v>79</v>
      </c>
      <c r="O82" s="208">
        <f t="shared" si="12"/>
        <v>1</v>
      </c>
    </row>
    <row r="83" spans="1:15" x14ac:dyDescent="0.2">
      <c r="A83" s="179"/>
      <c r="B83" s="179"/>
      <c r="D83" s="86">
        <v>43937</v>
      </c>
      <c r="E83" s="64">
        <f t="shared" si="11"/>
        <v>320</v>
      </c>
      <c r="F83" s="101">
        <v>320</v>
      </c>
      <c r="G83" s="140"/>
      <c r="H83" s="64">
        <f>E83/'Erkrankungs- und Strukturdaten'!$C$7</f>
        <v>581.81818181818176</v>
      </c>
      <c r="I83" s="64">
        <f t="shared" si="14"/>
        <v>27559</v>
      </c>
      <c r="J83" s="64">
        <f t="shared" si="13"/>
        <v>0</v>
      </c>
      <c r="K83" s="101">
        <f>IFERROR(IF(D83=_Datum,Prognoseparameter!$C$14,
IF(_WachstumsrateKURZ="Bundesweit",IF(D83&gt;_Datum,
         K82+AVERAGE(F79:F82)*(1+_WR)*(1-(K82-VLOOKUP('Erkrankungs- und Strukturdaten'!$C$45,$D:$M,$K$1,FALSE))/$B$16),
         K84-$B$23*F84),
IF(D83&gt;_Datum,K82+G83,IF(G84="",K84/(K84^(1/N83)),K84-G84)))),"")</f>
        <v>0</v>
      </c>
      <c r="L83" s="64">
        <f>I83/'Erkrankungs- und Strukturdaten'!$C$7</f>
        <v>50107.272727272721</v>
      </c>
      <c r="M83" s="65">
        <f t="shared" si="15"/>
        <v>1.1747861522082308E-2</v>
      </c>
      <c r="N83" s="163">
        <v>80</v>
      </c>
      <c r="O83" s="208">
        <f t="shared" si="12"/>
        <v>1</v>
      </c>
    </row>
    <row r="84" spans="1:15" x14ac:dyDescent="0.2">
      <c r="A84" s="179"/>
      <c r="B84" s="179"/>
      <c r="D84" s="86">
        <v>43938</v>
      </c>
      <c r="E84" s="64">
        <f t="shared" si="11"/>
        <v>291</v>
      </c>
      <c r="F84" s="101">
        <v>291</v>
      </c>
      <c r="G84" s="140"/>
      <c r="H84" s="64">
        <f>E84/'Erkrankungs- und Strukturdaten'!$C$7</f>
        <v>529.09090909090901</v>
      </c>
      <c r="I84" s="64">
        <f t="shared" si="14"/>
        <v>27850</v>
      </c>
      <c r="J84" s="64">
        <f t="shared" si="13"/>
        <v>0</v>
      </c>
      <c r="K84" s="101">
        <f>IFERROR(IF(D84=_Datum,Prognoseparameter!$C$14,
IF(_WachstumsrateKURZ="Bundesweit",IF(D84&gt;_Datum,
         K83+AVERAGE(F80:F83)*(1+_WR)*(1-(K83-VLOOKUP('Erkrankungs- und Strukturdaten'!$C$45,$D:$M,$K$1,FALSE))/$B$16),
         K85-$B$23*F85),
IF(D84&gt;_Datum,K83+G84,IF(G85="",K85/(K85^(1/N84)),K85-G85)))),"")</f>
        <v>0</v>
      </c>
      <c r="L84" s="64">
        <f>I84/'Erkrankungs- und Strukturdaten'!$C$7</f>
        <v>50636.363636363632</v>
      </c>
      <c r="M84" s="65">
        <f t="shared" si="15"/>
        <v>1.0559163975470808E-2</v>
      </c>
      <c r="N84" s="163">
        <v>81</v>
      </c>
      <c r="O84" s="208">
        <f t="shared" si="12"/>
        <v>1</v>
      </c>
    </row>
    <row r="85" spans="1:15" x14ac:dyDescent="0.2">
      <c r="A85" s="179"/>
      <c r="B85" s="179"/>
      <c r="D85" s="86">
        <v>43939</v>
      </c>
      <c r="E85" s="64">
        <f t="shared" si="11"/>
        <v>145</v>
      </c>
      <c r="F85" s="101">
        <v>145</v>
      </c>
      <c r="G85" s="140"/>
      <c r="H85" s="64">
        <f>E85/'Erkrankungs- und Strukturdaten'!$C$7</f>
        <v>263.63636363636363</v>
      </c>
      <c r="I85" s="64">
        <f t="shared" si="14"/>
        <v>27995</v>
      </c>
      <c r="J85" s="64">
        <f t="shared" si="13"/>
        <v>0</v>
      </c>
      <c r="K85" s="101">
        <f>IFERROR(IF(D85=_Datum,Prognoseparameter!$C$14,
IF(_WachstumsrateKURZ="Bundesweit",IF(D85&gt;_Datum,
         K84+AVERAGE(F81:F84)*(1+_WR)*(1-(K84-VLOOKUP('Erkrankungs- und Strukturdaten'!$C$45,$D:$M,$K$1,FALSE))/$B$16),
         K86-$B$23*F86),
IF(D85&gt;_Datum,K84+G85,IF(G86="",K86/(K86^(1/N85)),K86-G86)))),"")</f>
        <v>0</v>
      </c>
      <c r="L85" s="64">
        <f>I85/'Erkrankungs- und Strukturdaten'!$C$7</f>
        <v>50899.999999999993</v>
      </c>
      <c r="M85" s="65">
        <f t="shared" si="15"/>
        <v>5.2064631956912025E-3</v>
      </c>
      <c r="N85" s="163">
        <v>82</v>
      </c>
      <c r="O85" s="208">
        <f t="shared" si="12"/>
        <v>1</v>
      </c>
    </row>
    <row r="86" spans="1:15" x14ac:dyDescent="0.2">
      <c r="A86" s="179"/>
      <c r="B86" s="179"/>
      <c r="D86" s="86">
        <v>43940</v>
      </c>
      <c r="E86" s="64">
        <f t="shared" si="11"/>
        <v>87</v>
      </c>
      <c r="F86" s="101">
        <v>87</v>
      </c>
      <c r="G86" s="140"/>
      <c r="H86" s="64">
        <f>E86/'Erkrankungs- und Strukturdaten'!$C$7</f>
        <v>158.18181818181816</v>
      </c>
      <c r="I86" s="64">
        <f t="shared" si="14"/>
        <v>28082</v>
      </c>
      <c r="J86" s="64">
        <f t="shared" si="13"/>
        <v>0</v>
      </c>
      <c r="K86" s="101">
        <f>IFERROR(IF(D86=_Datum,Prognoseparameter!$C$14,
IF(_WachstumsrateKURZ="Bundesweit",IF(D86&gt;_Datum,
         K85+AVERAGE(F82:F85)*(1+_WR)*(1-(K85-VLOOKUP('Erkrankungs- und Strukturdaten'!$C$45,$D:$M,$K$1,FALSE))/$B$16),
         K87-$B$23*F87),
IF(D86&gt;_Datum,K85+G86,IF(G87="",K87/(K87^(1/N86)),K87-G87)))),"")</f>
        <v>0</v>
      </c>
      <c r="L86" s="64">
        <f>I86/'Erkrankungs- und Strukturdaten'!$C$7</f>
        <v>51058.181818181816</v>
      </c>
      <c r="M86" s="65">
        <f t="shared" si="15"/>
        <v>3.1076978031791391E-3</v>
      </c>
      <c r="N86" s="163">
        <v>83</v>
      </c>
      <c r="O86" s="208">
        <f t="shared" si="12"/>
        <v>1</v>
      </c>
    </row>
    <row r="87" spans="1:15" x14ac:dyDescent="0.2">
      <c r="A87" s="179"/>
      <c r="B87" s="179"/>
      <c r="D87" s="86">
        <v>43941</v>
      </c>
      <c r="E87" s="64">
        <f t="shared" si="11"/>
        <v>277</v>
      </c>
      <c r="F87" s="101">
        <v>277</v>
      </c>
      <c r="G87" s="140"/>
      <c r="H87" s="64">
        <f>E87/'Erkrankungs- und Strukturdaten'!$C$7</f>
        <v>503.63636363636357</v>
      </c>
      <c r="I87" s="64">
        <f t="shared" si="14"/>
        <v>28359</v>
      </c>
      <c r="J87" s="64">
        <f t="shared" si="13"/>
        <v>0</v>
      </c>
      <c r="K87" s="101">
        <f>IFERROR(IF(D87=_Datum,Prognoseparameter!$C$14,
IF(_WachstumsrateKURZ="Bundesweit",IF(D87&gt;_Datum,
         K86+AVERAGE(F83:F86)*(1+_WR)*(1-(K86-VLOOKUP('Erkrankungs- und Strukturdaten'!$C$45,$D:$M,$K$1,FALSE))/$B$16),
         K88-$B$23*F88),
IF(D87&gt;_Datum,K86+G87,IF(G88="",K88/(K88^(1/N87)),K88-G88)))),"")</f>
        <v>0</v>
      </c>
      <c r="L87" s="64">
        <f>I87/'Erkrankungs- und Strukturdaten'!$C$7</f>
        <v>51561.818181818177</v>
      </c>
      <c r="M87" s="65">
        <f t="shared" si="15"/>
        <v>9.8639698027206037E-3</v>
      </c>
      <c r="N87" s="163">
        <v>84</v>
      </c>
      <c r="O87" s="208">
        <f t="shared" si="12"/>
        <v>1</v>
      </c>
    </row>
    <row r="88" spans="1:15" x14ac:dyDescent="0.2">
      <c r="A88" s="179"/>
      <c r="B88" s="179"/>
      <c r="D88" s="86">
        <v>43942</v>
      </c>
      <c r="E88" s="64">
        <f t="shared" si="11"/>
        <v>213</v>
      </c>
      <c r="F88" s="101">
        <v>213</v>
      </c>
      <c r="G88" s="140"/>
      <c r="H88" s="64">
        <f>E88/'Erkrankungs- und Strukturdaten'!$C$7</f>
        <v>387.27272727272725</v>
      </c>
      <c r="I88" s="64">
        <f t="shared" si="14"/>
        <v>28572</v>
      </c>
      <c r="J88" s="64">
        <f t="shared" si="13"/>
        <v>0</v>
      </c>
      <c r="K88" s="101">
        <f>IFERROR(IF(D88=_Datum,Prognoseparameter!$C$14,
IF(_WachstumsrateKURZ="Bundesweit",IF(D88&gt;_Datum,
         K87+AVERAGE(F84:F87)*(1+_WR)*(1-(K87-VLOOKUP('Erkrankungs- und Strukturdaten'!$C$45,$D:$M,$K$1,FALSE))/$B$16),
         K89-$B$23*F89),
IF(D88&gt;_Datum,K87+G88,IF(G89="",K89/(K89^(1/N88)),K89-G89)))),"")</f>
        <v>0</v>
      </c>
      <c r="L88" s="64">
        <f>I88/'Erkrankungs- und Strukturdaten'!$C$7</f>
        <v>51949.090909090904</v>
      </c>
      <c r="M88" s="65">
        <f t="shared" si="15"/>
        <v>7.5108431185866922E-3</v>
      </c>
      <c r="N88" s="163">
        <v>85</v>
      </c>
      <c r="O88" s="208">
        <f t="shared" si="12"/>
        <v>1</v>
      </c>
    </row>
    <row r="89" spans="1:15" x14ac:dyDescent="0.2">
      <c r="A89" s="179"/>
      <c r="B89" s="179"/>
      <c r="D89" s="86">
        <v>43943</v>
      </c>
      <c r="E89" s="64">
        <f t="shared" si="11"/>
        <v>155</v>
      </c>
      <c r="F89" s="101">
        <v>155</v>
      </c>
      <c r="G89" s="140"/>
      <c r="H89" s="64">
        <f>E89/'Erkrankungs- und Strukturdaten'!$C$7</f>
        <v>281.81818181818181</v>
      </c>
      <c r="I89" s="64">
        <f t="shared" si="14"/>
        <v>28727</v>
      </c>
      <c r="J89" s="64">
        <f t="shared" si="13"/>
        <v>0</v>
      </c>
      <c r="K89" s="101">
        <f>IFERROR(IF(D89=_Datum,Prognoseparameter!$C$14,
IF(_WachstumsrateKURZ="Bundesweit",IF(D89&gt;_Datum,
         K88+AVERAGE(F85:F88)*(1+_WR)*(1-(K88-VLOOKUP('Erkrankungs- und Strukturdaten'!$C$45,$D:$M,$K$1,FALSE))/$B$16),
         K90-$B$23*F90),
IF(D89&gt;_Datum,K88+G89,IF(G90="",K90/(K90^(1/N89)),K90-G90)))),"")</f>
        <v>0</v>
      </c>
      <c r="L89" s="64">
        <f>I89/'Erkrankungs- und Strukturdaten'!$C$7</f>
        <v>52230.909090909088</v>
      </c>
      <c r="M89" s="65">
        <f t="shared" si="15"/>
        <v>5.4248915021699569E-3</v>
      </c>
      <c r="N89" s="163">
        <v>86</v>
      </c>
      <c r="O89" s="208">
        <f t="shared" si="12"/>
        <v>1</v>
      </c>
    </row>
    <row r="90" spans="1:15" x14ac:dyDescent="0.2">
      <c r="A90" s="179"/>
      <c r="B90" s="179"/>
      <c r="D90" s="86">
        <v>43944</v>
      </c>
      <c r="E90" s="64">
        <f t="shared" si="11"/>
        <v>207</v>
      </c>
      <c r="F90" s="101">
        <v>207</v>
      </c>
      <c r="G90" s="140"/>
      <c r="H90" s="64">
        <f>E90/'Erkrankungs- und Strukturdaten'!$C$7</f>
        <v>376.36363636363632</v>
      </c>
      <c r="I90" s="64">
        <f t="shared" si="14"/>
        <v>28934</v>
      </c>
      <c r="J90" s="64">
        <f t="shared" si="13"/>
        <v>0</v>
      </c>
      <c r="K90" s="101">
        <f>IFERROR(IF(D90=_Datum,Prognoseparameter!$C$14,
IF(_WachstumsrateKURZ="Bundesweit",IF(D90&gt;_Datum,
         K89+AVERAGE(F86:F89)*(1+_WR)*(1-(K89-VLOOKUP('Erkrankungs- und Strukturdaten'!$C$45,$D:$M,$K$1,FALSE))/$B$16),
         K91-$B$23*F91),
IF(D90&gt;_Datum,K89+G90,IF(G91="",K91/(K91^(1/N90)),K91-G91)))),"")</f>
        <v>0</v>
      </c>
      <c r="L90" s="64">
        <f>I90/'Erkrankungs- und Strukturdaten'!$C$7</f>
        <v>52607.272727272721</v>
      </c>
      <c r="M90" s="65">
        <f t="shared" si="15"/>
        <v>7.2057646116893519E-3</v>
      </c>
      <c r="N90" s="163">
        <v>87</v>
      </c>
      <c r="O90" s="208">
        <f t="shared" si="12"/>
        <v>1</v>
      </c>
    </row>
    <row r="91" spans="1:15" x14ac:dyDescent="0.2">
      <c r="A91" s="179"/>
      <c r="B91" s="179"/>
      <c r="D91" s="86">
        <v>43945</v>
      </c>
      <c r="E91" s="64">
        <f t="shared" si="11"/>
        <v>167</v>
      </c>
      <c r="F91" s="101">
        <v>167</v>
      </c>
      <c r="G91" s="140"/>
      <c r="H91" s="64">
        <f>E91/'Erkrankungs- und Strukturdaten'!$C$7</f>
        <v>303.63636363636363</v>
      </c>
      <c r="I91" s="64">
        <f t="shared" si="14"/>
        <v>29101</v>
      </c>
      <c r="J91" s="64">
        <f t="shared" si="13"/>
        <v>0</v>
      </c>
      <c r="K91" s="101">
        <f>IFERROR(IF(D91=_Datum,Prognoseparameter!$C$14,
IF(_WachstumsrateKURZ="Bundesweit",IF(D91&gt;_Datum,
         K90+AVERAGE(F87:F90)*(1+_WR)*(1-(K90-VLOOKUP('Erkrankungs- und Strukturdaten'!$C$45,$D:$M,$K$1,FALSE))/$B$16),
         K92-$B$23*F92),
IF(D91&gt;_Datum,K90+G91,IF(G92="",K92/(K92^(1/N91)),K92-G92)))),"")</f>
        <v>0</v>
      </c>
      <c r="L91" s="64">
        <f>I91/'Erkrankungs- und Strukturdaten'!$C$7</f>
        <v>52910.909090909088</v>
      </c>
      <c r="M91" s="65">
        <f t="shared" si="15"/>
        <v>5.7717564111426003E-3</v>
      </c>
      <c r="N91" s="163">
        <v>88</v>
      </c>
      <c r="O91" s="208">
        <f t="shared" si="12"/>
        <v>1</v>
      </c>
    </row>
    <row r="92" spans="1:15" x14ac:dyDescent="0.2">
      <c r="A92" s="179"/>
      <c r="B92" s="179"/>
      <c r="D92" s="86">
        <v>43946</v>
      </c>
      <c r="E92" s="64">
        <f t="shared" si="11"/>
        <v>87</v>
      </c>
      <c r="F92" s="101">
        <v>87</v>
      </c>
      <c r="G92" s="140"/>
      <c r="H92" s="64">
        <f>E92/'Erkrankungs- und Strukturdaten'!$C$7</f>
        <v>158.18181818181816</v>
      </c>
      <c r="I92" s="64">
        <f t="shared" si="14"/>
        <v>29188</v>
      </c>
      <c r="J92" s="64">
        <f t="shared" si="13"/>
        <v>0</v>
      </c>
      <c r="K92" s="101">
        <f>IFERROR(IF(D92=_Datum,Prognoseparameter!$C$14,
IF(_WachstumsrateKURZ="Bundesweit",IF(D92&gt;_Datum,
         K91+AVERAGE(F88:F91)*(1+_WR)*(1-(K91-VLOOKUP('Erkrankungs- und Strukturdaten'!$C$45,$D:$M,$K$1,FALSE))/$B$16),
         K93-$B$23*F93),
IF(D92&gt;_Datum,K91+G92,IF(G93="",K93/(K93^(1/N92)),K93-G93)))),"")</f>
        <v>0</v>
      </c>
      <c r="L92" s="64">
        <f>I92/'Erkrankungs- und Strukturdaten'!$C$7</f>
        <v>53069.090909090904</v>
      </c>
      <c r="M92" s="65">
        <f t="shared" si="15"/>
        <v>2.9895879866671249E-3</v>
      </c>
      <c r="N92" s="163">
        <v>89</v>
      </c>
      <c r="O92" s="208">
        <f t="shared" si="12"/>
        <v>1</v>
      </c>
    </row>
    <row r="93" spans="1:15" x14ac:dyDescent="0.2">
      <c r="A93" s="179"/>
      <c r="B93" s="179"/>
      <c r="D93" s="86">
        <v>43947</v>
      </c>
      <c r="E93" s="64">
        <f t="shared" si="11"/>
        <v>61</v>
      </c>
      <c r="F93" s="101">
        <v>61</v>
      </c>
      <c r="G93" s="140"/>
      <c r="H93" s="64">
        <f>E93/'Erkrankungs- und Strukturdaten'!$C$7</f>
        <v>110.90909090909091</v>
      </c>
      <c r="I93" s="64">
        <f t="shared" si="14"/>
        <v>29249</v>
      </c>
      <c r="J93" s="64">
        <f t="shared" si="13"/>
        <v>0</v>
      </c>
      <c r="K93" s="101">
        <f>IFERROR(IF(D93=_Datum,Prognoseparameter!$C$14,
IF(_WachstumsrateKURZ="Bundesweit",IF(D93&gt;_Datum,
         K92+AVERAGE(F89:F92)*(1+_WR)*(1-(K92-VLOOKUP('Erkrankungs- und Strukturdaten'!$C$45,$D:$M,$K$1,FALSE))/$B$16),
         K94-$B$23*F94),
IF(D93&gt;_Datum,K92+G93,IF(G94="",K94/(K94^(1/N93)),K94-G94)))),"")</f>
        <v>0</v>
      </c>
      <c r="L93" s="64">
        <f>I93/'Erkrankungs- und Strukturdaten'!$C$7</f>
        <v>53179.999999999993</v>
      </c>
      <c r="M93" s="65">
        <f t="shared" si="15"/>
        <v>2.0898999588872141E-3</v>
      </c>
      <c r="N93" s="163">
        <v>90</v>
      </c>
      <c r="O93" s="208">
        <f t="shared" si="12"/>
        <v>1</v>
      </c>
    </row>
    <row r="94" spans="1:15" x14ac:dyDescent="0.2">
      <c r="A94" s="179"/>
      <c r="B94" s="179"/>
      <c r="D94" s="86">
        <v>43948</v>
      </c>
      <c r="E94" s="64">
        <f t="shared" si="11"/>
        <v>173</v>
      </c>
      <c r="F94" s="101">
        <v>173</v>
      </c>
      <c r="G94" s="140"/>
      <c r="H94" s="64">
        <f>E94/'Erkrankungs- und Strukturdaten'!$C$7</f>
        <v>314.5454545454545</v>
      </c>
      <c r="I94" s="64">
        <f t="shared" si="14"/>
        <v>29422</v>
      </c>
      <c r="J94" s="64">
        <f t="shared" si="13"/>
        <v>0</v>
      </c>
      <c r="K94" s="101">
        <f>IFERROR(IF(D94=_Datum,Prognoseparameter!$C$14,
IF(_WachstumsrateKURZ="Bundesweit",IF(D94&gt;_Datum,
         K93+AVERAGE(F90:F93)*(1+_WR)*(1-(K93-VLOOKUP('Erkrankungs- und Strukturdaten'!$C$45,$D:$M,$K$1,FALSE))/$B$16),
         K95-$B$23*F95),
IF(D94&gt;_Datum,K93+G94,IF(G95="",K95/(K95^(1/N94)),K95-G95)))),"")</f>
        <v>0</v>
      </c>
      <c r="L94" s="64">
        <f>I94/'Erkrankungs- und Strukturdaten'!$C$7</f>
        <v>53494.545454545449</v>
      </c>
      <c r="M94" s="65">
        <f t="shared" si="15"/>
        <v>5.9147321275941061E-3</v>
      </c>
      <c r="N94" s="163">
        <v>91</v>
      </c>
      <c r="O94" s="208">
        <f t="shared" si="12"/>
        <v>1</v>
      </c>
    </row>
    <row r="95" spans="1:15" x14ac:dyDescent="0.2">
      <c r="A95" s="179"/>
      <c r="B95" s="179"/>
      <c r="D95" s="86">
        <v>43949</v>
      </c>
      <c r="E95" s="64">
        <f t="shared" si="11"/>
        <v>154</v>
      </c>
      <c r="F95" s="101">
        <v>154</v>
      </c>
      <c r="G95" s="140"/>
      <c r="H95" s="64">
        <f>E95/'Erkrankungs- und Strukturdaten'!$C$7</f>
        <v>280</v>
      </c>
      <c r="I95" s="64">
        <f t="shared" si="14"/>
        <v>29576</v>
      </c>
      <c r="J95" s="64">
        <f t="shared" si="13"/>
        <v>0</v>
      </c>
      <c r="K95" s="101">
        <f>IFERROR(IF(D95=_Datum,Prognoseparameter!$C$14,
IF(_WachstumsrateKURZ="Bundesweit",IF(D95&gt;_Datum,
         K94+AVERAGE(F91:F94)*(1+_WR)*(1-(K94-VLOOKUP('Erkrankungs- und Strukturdaten'!$C$45,$D:$M,$K$1,FALSE))/$B$16),
         K96-$B$23*F96),
IF(D95&gt;_Datum,K94+G95,IF(G96="",K96/(K96^(1/N95)),K96-G96)))),"")</f>
        <v>0</v>
      </c>
      <c r="L95" s="64">
        <f>I95/'Erkrankungs- und Strukturdaten'!$C$7</f>
        <v>53774.545454545449</v>
      </c>
      <c r="M95" s="65">
        <f t="shared" si="15"/>
        <v>5.2341785058799542E-3</v>
      </c>
      <c r="N95" s="163">
        <v>92</v>
      </c>
      <c r="O95" s="208">
        <f t="shared" si="12"/>
        <v>1</v>
      </c>
    </row>
    <row r="96" spans="1:15" x14ac:dyDescent="0.2">
      <c r="A96" s="179"/>
      <c r="B96" s="179"/>
      <c r="D96" s="86">
        <v>43950</v>
      </c>
      <c r="E96" s="64">
        <f t="shared" si="11"/>
        <v>120</v>
      </c>
      <c r="F96" s="101">
        <v>120</v>
      </c>
      <c r="G96" s="140"/>
      <c r="H96" s="64">
        <f>E96/'Erkrankungs- und Strukturdaten'!$C$7</f>
        <v>218.18181818181816</v>
      </c>
      <c r="I96" s="64">
        <f t="shared" si="14"/>
        <v>29696</v>
      </c>
      <c r="J96" s="64">
        <f t="shared" si="13"/>
        <v>0</v>
      </c>
      <c r="K96" s="101">
        <f>IFERROR(IF(D96=_Datum,Prognoseparameter!$C$14,
IF(_WachstumsrateKURZ="Bundesweit",IF(D96&gt;_Datum,
         K95+AVERAGE(F92:F95)*(1+_WR)*(1-(K95-VLOOKUP('Erkrankungs- und Strukturdaten'!$C$45,$D:$M,$K$1,FALSE))/$B$16),
         K97-$B$23*F97),
IF(D96&gt;_Datum,K95+G96,IF(G97="",K97/(K97^(1/N96)),K97-G97)))),"")</f>
        <v>0</v>
      </c>
      <c r="L96" s="64">
        <f>I96/'Erkrankungs- und Strukturdaten'!$C$7</f>
        <v>53992.727272727265</v>
      </c>
      <c r="M96" s="65">
        <f t="shared" si="15"/>
        <v>4.057343792263998E-3</v>
      </c>
      <c r="N96" s="163">
        <v>93</v>
      </c>
      <c r="O96" s="208">
        <f t="shared" si="12"/>
        <v>1</v>
      </c>
    </row>
    <row r="97" spans="1:15" x14ac:dyDescent="0.2">
      <c r="A97" s="179"/>
      <c r="B97" s="179"/>
      <c r="D97" s="86">
        <v>43951</v>
      </c>
      <c r="E97" s="64">
        <f t="shared" si="11"/>
        <v>101</v>
      </c>
      <c r="F97" s="101">
        <v>101</v>
      </c>
      <c r="G97" s="140"/>
      <c r="H97" s="64">
        <f>E97/'Erkrankungs- und Strukturdaten'!$C$7</f>
        <v>183.63636363636363</v>
      </c>
      <c r="I97" s="64">
        <f t="shared" si="14"/>
        <v>29797</v>
      </c>
      <c r="J97" s="64">
        <f t="shared" si="13"/>
        <v>0</v>
      </c>
      <c r="K97" s="101">
        <f>IFERROR(IF(D97=_Datum,Prognoseparameter!$C$14,
IF(_WachstumsrateKURZ="Bundesweit",IF(D97&gt;_Datum,
         K96+AVERAGE(F93:F96)*(1+_WR)*(1-(K96-VLOOKUP('Erkrankungs- und Strukturdaten'!$C$45,$D:$M,$K$1,FALSE))/$B$16),
         K98-$B$23*F98),
IF(D97&gt;_Datum,K96+G97,IF(G98="",K98/(K98^(1/N97)),K98-G98)))),"")</f>
        <v>0</v>
      </c>
      <c r="L97" s="64">
        <f>I97/'Erkrankungs- und Strukturdaten'!$C$7</f>
        <v>54176.363636363632</v>
      </c>
      <c r="M97" s="65">
        <f t="shared" si="15"/>
        <v>3.4011314655172415E-3</v>
      </c>
      <c r="N97" s="163">
        <v>94</v>
      </c>
      <c r="O97" s="208">
        <f t="shared" si="12"/>
        <v>1</v>
      </c>
    </row>
    <row r="98" spans="1:15" x14ac:dyDescent="0.2">
      <c r="A98" s="179"/>
      <c r="B98" s="179"/>
      <c r="D98" s="86">
        <v>43952</v>
      </c>
      <c r="E98" s="64">
        <f t="shared" si="11"/>
        <v>83</v>
      </c>
      <c r="F98" s="101">
        <v>83</v>
      </c>
      <c r="G98" s="140"/>
      <c r="H98" s="64">
        <f>E98/'Erkrankungs- und Strukturdaten'!$C$7</f>
        <v>150.90909090909091</v>
      </c>
      <c r="I98" s="64">
        <f t="shared" si="14"/>
        <v>29880</v>
      </c>
      <c r="J98" s="64">
        <f t="shared" si="13"/>
        <v>0</v>
      </c>
      <c r="K98" s="101">
        <f>IFERROR(IF(D98=_Datum,Prognoseparameter!$C$14,
IF(_WachstumsrateKURZ="Bundesweit",IF(D98&gt;_Datum,
         K97+AVERAGE(F94:F97)*(1+_WR)*(1-(K97-VLOOKUP('Erkrankungs- und Strukturdaten'!$C$45,$D:$M,$K$1,FALSE))/$B$16),
         K99-$B$23*F99),
IF(D98&gt;_Datum,K97+G98,IF(G99="",K99/(K99^(1/N98)),K99-G99)))),"")</f>
        <v>0</v>
      </c>
      <c r="L98" s="64">
        <f>I98/'Erkrankungs- und Strukturdaten'!$C$7</f>
        <v>54327.272727272721</v>
      </c>
      <c r="M98" s="65">
        <f t="shared" si="15"/>
        <v>2.7855153203342618E-3</v>
      </c>
      <c r="N98" s="163">
        <v>95</v>
      </c>
      <c r="O98" s="208">
        <f t="shared" si="12"/>
        <v>1</v>
      </c>
    </row>
    <row r="99" spans="1:15" x14ac:dyDescent="0.2">
      <c r="A99" s="179"/>
      <c r="B99" s="179"/>
      <c r="D99" s="86">
        <v>43953</v>
      </c>
      <c r="E99" s="64">
        <f t="shared" si="11"/>
        <v>47</v>
      </c>
      <c r="F99" s="101">
        <v>47</v>
      </c>
      <c r="G99" s="140"/>
      <c r="H99" s="64">
        <f>E99/'Erkrankungs- und Strukturdaten'!$C$7</f>
        <v>85.454545454545453</v>
      </c>
      <c r="I99" s="64">
        <f t="shared" si="14"/>
        <v>29927</v>
      </c>
      <c r="J99" s="64">
        <f t="shared" si="13"/>
        <v>0</v>
      </c>
      <c r="K99" s="101">
        <f>IFERROR(IF(D99=_Datum,Prognoseparameter!$C$14,
IF(_WachstumsrateKURZ="Bundesweit",IF(D99&gt;_Datum,
         K98+AVERAGE(F95:F98)*(1+_WR)*(1-(K98-VLOOKUP('Erkrankungs- und Strukturdaten'!$C$45,$D:$M,$K$1,FALSE))/$B$16),
         K100-$B$23*F100),
IF(D99&gt;_Datum,K98+G99,IF(G100="",K100/(K100^(1/N99)),K100-G100)))),"")</f>
        <v>0</v>
      </c>
      <c r="L99" s="64">
        <f>I99/'Erkrankungs- und Strukturdaten'!$C$7</f>
        <v>54412.727272727265</v>
      </c>
      <c r="M99" s="65">
        <f t="shared" si="15"/>
        <v>1.572958500669344E-3</v>
      </c>
      <c r="N99" s="163">
        <v>96</v>
      </c>
      <c r="O99" s="208">
        <f t="shared" si="12"/>
        <v>1</v>
      </c>
    </row>
    <row r="100" spans="1:15" x14ac:dyDescent="0.2">
      <c r="A100" s="179"/>
      <c r="B100" s="179"/>
      <c r="D100" s="86">
        <v>43954</v>
      </c>
      <c r="E100" s="64">
        <f t="shared" si="11"/>
        <v>22</v>
      </c>
      <c r="F100" s="101">
        <v>22</v>
      </c>
      <c r="G100" s="140"/>
      <c r="H100" s="64">
        <f>E100/'Erkrankungs- und Strukturdaten'!$C$7</f>
        <v>40</v>
      </c>
      <c r="I100" s="64">
        <f t="shared" si="14"/>
        <v>29949</v>
      </c>
      <c r="J100" s="64">
        <f t="shared" si="13"/>
        <v>0</v>
      </c>
      <c r="K100" s="101">
        <f>IFERROR(IF(D100=_Datum,Prognoseparameter!$C$14,
IF(_WachstumsrateKURZ="Bundesweit",IF(D100&gt;_Datum,
         K99+AVERAGE(F96:F99)*(1+_WR)*(1-(K99-VLOOKUP('Erkrankungs- und Strukturdaten'!$C$45,$D:$M,$K$1,FALSE))/$B$16),
         K101-$B$23*F101),
IF(D100&gt;_Datum,K99+G100,IF(G101="",K101/(K101^(1/N100)),K101-G101)))),"")</f>
        <v>0</v>
      </c>
      <c r="L100" s="64">
        <f>I100/'Erkrankungs- und Strukturdaten'!$C$7</f>
        <v>54452.727272727265</v>
      </c>
      <c r="M100" s="65">
        <f t="shared" si="15"/>
        <v>7.3512213051759277E-4</v>
      </c>
      <c r="N100" s="163">
        <v>97</v>
      </c>
      <c r="O100" s="208">
        <f t="shared" si="12"/>
        <v>1</v>
      </c>
    </row>
    <row r="101" spans="1:15" x14ac:dyDescent="0.2">
      <c r="A101" s="179"/>
      <c r="B101" s="179"/>
      <c r="D101" s="86">
        <v>43955</v>
      </c>
      <c r="E101" s="64">
        <f t="shared" si="11"/>
        <v>90</v>
      </c>
      <c r="F101" s="101">
        <v>90</v>
      </c>
      <c r="G101" s="140"/>
      <c r="H101" s="64">
        <f>E101/'Erkrankungs- und Strukturdaten'!$C$7</f>
        <v>163.63636363636363</v>
      </c>
      <c r="I101" s="64">
        <f t="shared" si="14"/>
        <v>30039</v>
      </c>
      <c r="J101" s="64">
        <f t="shared" si="13"/>
        <v>0</v>
      </c>
      <c r="K101" s="101">
        <f>IFERROR(IF(D101=_Datum,Prognoseparameter!$C$14,
IF(_WachstumsrateKURZ="Bundesweit",IF(D101&gt;_Datum,
         K100+AVERAGE(F97:F100)*(1+_WR)*(1-(K100-VLOOKUP('Erkrankungs- und Strukturdaten'!$C$45,$D:$M,$K$1,FALSE))/$B$16),
         K102-$B$23*F102),
IF(D101&gt;_Datum,K100+G101,IF(G102="",K102/(K102^(1/N101)),K102-G102)))),"")</f>
        <v>0</v>
      </c>
      <c r="L101" s="64">
        <f>I101/'Erkrankungs- und Strukturdaten'!$C$7</f>
        <v>54616.363636363632</v>
      </c>
      <c r="M101" s="65">
        <f t="shared" si="15"/>
        <v>3.005108684764099E-3</v>
      </c>
      <c r="N101" s="163">
        <v>98</v>
      </c>
      <c r="O101" s="208">
        <f t="shared" si="12"/>
        <v>1</v>
      </c>
    </row>
    <row r="102" spans="1:15" x14ac:dyDescent="0.2">
      <c r="A102" s="179"/>
      <c r="B102" s="179"/>
      <c r="D102" s="86">
        <v>43956</v>
      </c>
      <c r="E102" s="64">
        <f t="shared" si="11"/>
        <v>73</v>
      </c>
      <c r="F102" s="101">
        <v>73</v>
      </c>
      <c r="G102" s="140"/>
      <c r="H102" s="64">
        <f>E102/'Erkrankungs- und Strukturdaten'!$C$7</f>
        <v>132.72727272727272</v>
      </c>
      <c r="I102" s="64">
        <f t="shared" si="14"/>
        <v>30112</v>
      </c>
      <c r="J102" s="64">
        <f t="shared" si="13"/>
        <v>0</v>
      </c>
      <c r="K102" s="101">
        <f>IFERROR(IF(D102=_Datum,Prognoseparameter!$C$14,
IF(_WachstumsrateKURZ="Bundesweit",IF(D102&gt;_Datum,
         K101+AVERAGE(F98:F101)*(1+_WR)*(1-(K101-VLOOKUP('Erkrankungs- und Strukturdaten'!$C$45,$D:$M,$K$1,FALSE))/$B$16),
         K103-$B$23*F103),
IF(D102&gt;_Datum,K101+G102,IF(G103="",K103/(K103^(1/N102)),K103-G103)))),"")</f>
        <v>0</v>
      </c>
      <c r="L102" s="64">
        <f>I102/'Erkrankungs- und Strukturdaten'!$C$7</f>
        <v>54749.090909090904</v>
      </c>
      <c r="M102" s="65">
        <f t="shared" si="15"/>
        <v>2.4301741069942409E-3</v>
      </c>
      <c r="N102" s="163">
        <v>99</v>
      </c>
      <c r="O102" s="208">
        <f t="shared" si="12"/>
        <v>1</v>
      </c>
    </row>
    <row r="103" spans="1:15" x14ac:dyDescent="0.2">
      <c r="A103" s="179"/>
      <c r="B103" s="179"/>
      <c r="D103" s="86">
        <v>43957</v>
      </c>
      <c r="E103" s="64">
        <f t="shared" si="11"/>
        <v>79</v>
      </c>
      <c r="F103" s="101">
        <v>79</v>
      </c>
      <c r="G103" s="140"/>
      <c r="H103" s="64">
        <f>E103/'Erkrankungs- und Strukturdaten'!$C$7</f>
        <v>143.63636363636363</v>
      </c>
      <c r="I103" s="64">
        <f t="shared" si="14"/>
        <v>30191</v>
      </c>
      <c r="J103" s="64">
        <f t="shared" si="13"/>
        <v>0</v>
      </c>
      <c r="K103" s="101">
        <f>IFERROR(IF(D103=_Datum,Prognoseparameter!$C$14,
IF(_WachstumsrateKURZ="Bundesweit",IF(D103&gt;_Datum,
         K102+AVERAGE(F99:F102)*(1+_WR)*(1-(K102-VLOOKUP('Erkrankungs- und Strukturdaten'!$C$45,$D:$M,$K$1,FALSE))/$B$16),
         K104-$B$23*F104),
IF(D103&gt;_Datum,K102+G103,IF(G104="",K104/(K104^(1/N103)),K104-G104)))),"")</f>
        <v>0</v>
      </c>
      <c r="L103" s="64">
        <f>I103/'Erkrankungs- und Strukturdaten'!$C$7</f>
        <v>54892.727272727265</v>
      </c>
      <c r="M103" s="65">
        <f t="shared" si="15"/>
        <v>2.6235387885228481E-3</v>
      </c>
      <c r="N103" s="163">
        <v>100</v>
      </c>
      <c r="O103" s="208">
        <f t="shared" si="12"/>
        <v>1</v>
      </c>
    </row>
    <row r="104" spans="1:15" x14ac:dyDescent="0.2">
      <c r="A104" s="179"/>
      <c r="B104" s="179"/>
      <c r="D104" s="86">
        <v>43958</v>
      </c>
      <c r="E104" s="64">
        <f t="shared" si="11"/>
        <v>46</v>
      </c>
      <c r="F104" s="101">
        <v>46</v>
      </c>
      <c r="G104" s="140"/>
      <c r="H104" s="64">
        <f>E104/'Erkrankungs- und Strukturdaten'!$C$7</f>
        <v>83.636363636363626</v>
      </c>
      <c r="I104" s="64">
        <f t="shared" si="14"/>
        <v>30237</v>
      </c>
      <c r="J104" s="64">
        <f t="shared" si="13"/>
        <v>0</v>
      </c>
      <c r="K104" s="101">
        <f>IFERROR(IF(D104=_Datum,Prognoseparameter!$C$14,
IF(_WachstumsrateKURZ="Bundesweit",IF(D104&gt;_Datum,
         K103+AVERAGE(F100:F103)*(1+_WR)*(1-(K103-VLOOKUP('Erkrankungs- und Strukturdaten'!$C$45,$D:$M,$K$1,FALSE))/$B$16),
         K105-$B$23*F105),
IF(D104&gt;_Datum,K103+G104,IF(G105="",K105/(K105^(1/N104)),K105-G105)))),"")</f>
        <v>0</v>
      </c>
      <c r="L104" s="64">
        <f>I104/'Erkrankungs- und Strukturdaten'!$C$7</f>
        <v>54976.363636363632</v>
      </c>
      <c r="M104" s="65">
        <f t="shared" si="15"/>
        <v>1.5236328707230631E-3</v>
      </c>
      <c r="N104" s="163">
        <v>101</v>
      </c>
      <c r="O104" s="208">
        <f t="shared" si="12"/>
        <v>1</v>
      </c>
    </row>
    <row r="105" spans="1:15" x14ac:dyDescent="0.2">
      <c r="A105" s="179"/>
      <c r="B105" s="179"/>
      <c r="D105" s="86">
        <v>43959</v>
      </c>
      <c r="E105" s="64">
        <f t="shared" si="11"/>
        <v>59</v>
      </c>
      <c r="F105" s="101">
        <v>59</v>
      </c>
      <c r="G105" s="140"/>
      <c r="H105" s="64">
        <f>E105/'Erkrankungs- und Strukturdaten'!$C$7</f>
        <v>107.27272727272727</v>
      </c>
      <c r="I105" s="64">
        <f t="shared" si="14"/>
        <v>30296</v>
      </c>
      <c r="J105" s="64">
        <f t="shared" si="13"/>
        <v>0</v>
      </c>
      <c r="K105" s="101">
        <f>IFERROR(IF(D105=_Datum,Prognoseparameter!$C$14,
IF(_WachstumsrateKURZ="Bundesweit",IF(D105&gt;_Datum,
         K104+AVERAGE(F101:F104)*(1+_WR)*(1-(K104-VLOOKUP('Erkrankungs- und Strukturdaten'!$C$45,$D:$M,$K$1,FALSE))/$B$16),
         K106-$B$23*F106),
IF(D105&gt;_Datum,K104+G105,IF(G106="",K106/(K106^(1/N105)),K106-G106)))),"")</f>
        <v>0</v>
      </c>
      <c r="L105" s="64">
        <f>I105/'Erkrankungs- und Strukturdaten'!$C$7</f>
        <v>55083.63636363636</v>
      </c>
      <c r="M105" s="65">
        <f t="shared" si="15"/>
        <v>1.9512517776234415E-3</v>
      </c>
      <c r="N105" s="163">
        <v>102</v>
      </c>
      <c r="O105" s="208">
        <f t="shared" si="12"/>
        <v>1</v>
      </c>
    </row>
    <row r="106" spans="1:15" x14ac:dyDescent="0.2">
      <c r="A106" s="179"/>
      <c r="B106" s="179"/>
      <c r="D106" s="86">
        <v>43960</v>
      </c>
      <c r="E106" s="64">
        <f t="shared" si="11"/>
        <v>39</v>
      </c>
      <c r="F106" s="101">
        <v>39</v>
      </c>
      <c r="G106" s="140"/>
      <c r="H106" s="64">
        <f>E106/'Erkrankungs- und Strukturdaten'!$C$7</f>
        <v>70.909090909090907</v>
      </c>
      <c r="I106" s="64">
        <f t="shared" si="14"/>
        <v>30335</v>
      </c>
      <c r="J106" s="64">
        <f t="shared" si="13"/>
        <v>0</v>
      </c>
      <c r="K106" s="101">
        <f>IFERROR(IF(D106=_Datum,Prognoseparameter!$C$14,
IF(_WachstumsrateKURZ="Bundesweit",IF(D106&gt;_Datum,
         K105+AVERAGE(F102:F105)*(1+_WR)*(1-(K105-VLOOKUP('Erkrankungs- und Strukturdaten'!$C$45,$D:$M,$K$1,FALSE))/$B$16),
         K107-$B$23*F107),
IF(D106&gt;_Datum,K105+G106,IF(G107="",K107/(K107^(1/N106)),K107-G107)))),"")</f>
        <v>0</v>
      </c>
      <c r="L106" s="64">
        <f>I106/'Erkrankungs- und Strukturdaten'!$C$7</f>
        <v>55154.545454545449</v>
      </c>
      <c r="M106" s="65">
        <f t="shared" si="15"/>
        <v>1.2872986532875628E-3</v>
      </c>
      <c r="N106" s="163">
        <v>103</v>
      </c>
      <c r="O106" s="208">
        <f t="shared" si="12"/>
        <v>1</v>
      </c>
    </row>
    <row r="107" spans="1:15" x14ac:dyDescent="0.2">
      <c r="A107" s="179"/>
      <c r="B107" s="179"/>
      <c r="D107" s="86">
        <v>43961</v>
      </c>
      <c r="E107" s="64">
        <f t="shared" si="11"/>
        <v>16</v>
      </c>
      <c r="F107" s="101">
        <v>16</v>
      </c>
      <c r="G107" s="140"/>
      <c r="H107" s="64">
        <f>E107/'Erkrankungs- und Strukturdaten'!$C$7</f>
        <v>29.09090909090909</v>
      </c>
      <c r="I107" s="64">
        <f t="shared" si="14"/>
        <v>30351</v>
      </c>
      <c r="J107" s="64">
        <f t="shared" si="13"/>
        <v>0</v>
      </c>
      <c r="K107" s="101">
        <f>IFERROR(IF(D107=_Datum,Prognoseparameter!$C$14,
IF(_WachstumsrateKURZ="Bundesweit",IF(D107&gt;_Datum,
         K106+AVERAGE(F103:F106)*(1+_WR)*(1-(K106-VLOOKUP('Erkrankungs- und Strukturdaten'!$C$45,$D:$M,$K$1,FALSE))/$B$16),
         K108-$B$23*F108),
IF(D107&gt;_Datum,K106+G107,IF(G108="",K108/(K108^(1/N107)),K108-G108)))),"")</f>
        <v>0</v>
      </c>
      <c r="L107" s="64">
        <f>I107/'Erkrankungs- und Strukturdaten'!$C$7</f>
        <v>55183.63636363636</v>
      </c>
      <c r="M107" s="65">
        <f t="shared" si="15"/>
        <v>5.2744354705785393E-4</v>
      </c>
      <c r="N107" s="163">
        <v>104</v>
      </c>
      <c r="O107" s="208">
        <f t="shared" si="12"/>
        <v>1</v>
      </c>
    </row>
    <row r="108" spans="1:15" x14ac:dyDescent="0.2">
      <c r="A108" s="179"/>
      <c r="B108" s="179"/>
      <c r="D108" s="86">
        <v>43962</v>
      </c>
      <c r="E108" s="64">
        <f t="shared" si="11"/>
        <v>47</v>
      </c>
      <c r="F108" s="101">
        <v>47</v>
      </c>
      <c r="G108" s="140"/>
      <c r="H108" s="64">
        <f>E108/'Erkrankungs- und Strukturdaten'!$C$7</f>
        <v>85.454545454545453</v>
      </c>
      <c r="I108" s="64">
        <f t="shared" si="14"/>
        <v>30398</v>
      </c>
      <c r="J108" s="64">
        <f t="shared" si="13"/>
        <v>0</v>
      </c>
      <c r="K108" s="101">
        <f>IFERROR(IF(D108=_Datum,Prognoseparameter!$C$14,
IF(_WachstumsrateKURZ="Bundesweit",IF(D108&gt;_Datum,
         K107+AVERAGE(F104:F107)*(1+_WR)*(1-(K107-VLOOKUP('Erkrankungs- und Strukturdaten'!$C$45,$D:$M,$K$1,FALSE))/$B$16),
         K109-$B$23*F109),
IF(D108&gt;_Datum,K107+G108,IF(G109="",K109/(K109^(1/N108)),K109-G109)))),"")</f>
        <v>0</v>
      </c>
      <c r="L108" s="64">
        <f>I108/'Erkrankungs- und Strukturdaten'!$C$7</f>
        <v>55269.090909090904</v>
      </c>
      <c r="M108" s="65">
        <f t="shared" si="15"/>
        <v>1.5485486474910218E-3</v>
      </c>
      <c r="N108" s="163">
        <v>105</v>
      </c>
      <c r="O108" s="208">
        <f t="shared" si="12"/>
        <v>1</v>
      </c>
    </row>
    <row r="109" spans="1:15" x14ac:dyDescent="0.2">
      <c r="A109" s="179"/>
      <c r="B109" s="179"/>
      <c r="D109" s="86">
        <v>43963</v>
      </c>
      <c r="E109" s="64">
        <f t="shared" si="11"/>
        <v>42</v>
      </c>
      <c r="F109" s="101">
        <v>42</v>
      </c>
      <c r="G109" s="140"/>
      <c r="H109" s="64">
        <f>E109/'Erkrankungs- und Strukturdaten'!$C$7</f>
        <v>76.36363636363636</v>
      </c>
      <c r="I109" s="64">
        <f t="shared" si="14"/>
        <v>30440</v>
      </c>
      <c r="J109" s="64">
        <f t="shared" si="13"/>
        <v>0</v>
      </c>
      <c r="K109" s="101">
        <f>IFERROR(IF(D109=_Datum,Prognoseparameter!$C$14,
IF(_WachstumsrateKURZ="Bundesweit",IF(D109&gt;_Datum,
         K108+AVERAGE(F105:F108)*(1+_WR)*(1-(K108-VLOOKUP('Erkrankungs- und Strukturdaten'!$C$45,$D:$M,$K$1,FALSE))/$B$16),
         K110-$B$23*F110),
IF(D109&gt;_Datum,K108+G109,IF(G110="",K110/(K110^(1/N109)),K110-G110)))),"")</f>
        <v>0</v>
      </c>
      <c r="L109" s="64">
        <f>I109/'Erkrankungs- und Strukturdaten'!$C$7</f>
        <v>55345.454545454544</v>
      </c>
      <c r="M109" s="65">
        <f t="shared" si="15"/>
        <v>1.3816698467004407E-3</v>
      </c>
      <c r="N109" s="163">
        <v>106</v>
      </c>
      <c r="O109" s="208">
        <f t="shared" si="12"/>
        <v>1</v>
      </c>
    </row>
    <row r="110" spans="1:15" x14ac:dyDescent="0.2">
      <c r="A110" s="179"/>
      <c r="B110" s="179"/>
      <c r="D110" s="86">
        <v>43964</v>
      </c>
      <c r="E110" s="64">
        <f t="shared" si="11"/>
        <v>37</v>
      </c>
      <c r="F110" s="101">
        <v>37</v>
      </c>
      <c r="G110" s="140"/>
      <c r="H110" s="64">
        <f>E110/'Erkrankungs- und Strukturdaten'!$C$7</f>
        <v>67.272727272727266</v>
      </c>
      <c r="I110" s="64">
        <f t="shared" si="14"/>
        <v>30477</v>
      </c>
      <c r="J110" s="64">
        <f t="shared" si="13"/>
        <v>0</v>
      </c>
      <c r="K110" s="101">
        <f>IFERROR(IF(D110=_Datum,Prognoseparameter!$C$14,
IF(_WachstumsrateKURZ="Bundesweit",IF(D110&gt;_Datum,
         K109+AVERAGE(F106:F109)*(1+_WR)*(1-(K109-VLOOKUP('Erkrankungs- und Strukturdaten'!$C$45,$D:$M,$K$1,FALSE))/$B$16),
         K111-$B$23*F111),
IF(D110&gt;_Datum,K109+G110,IF(G111="",K111/(K111^(1/N110)),K111-G111)))),"")</f>
        <v>0</v>
      </c>
      <c r="L110" s="64">
        <f>I110/'Erkrankungs- und Strukturdaten'!$C$7</f>
        <v>55412.727272727265</v>
      </c>
      <c r="M110" s="65">
        <f t="shared" si="15"/>
        <v>1.2155059132720105E-3</v>
      </c>
      <c r="N110" s="163">
        <v>107</v>
      </c>
      <c r="O110" s="208">
        <f t="shared" si="12"/>
        <v>1</v>
      </c>
    </row>
    <row r="111" spans="1:15" x14ac:dyDescent="0.2">
      <c r="A111" s="179"/>
      <c r="B111" s="179"/>
      <c r="D111" s="86">
        <v>43965</v>
      </c>
      <c r="E111" s="64">
        <f t="shared" si="11"/>
        <v>37</v>
      </c>
      <c r="F111" s="101">
        <v>37</v>
      </c>
      <c r="G111" s="140"/>
      <c r="H111" s="64">
        <f>E111/'Erkrankungs- und Strukturdaten'!$C$7</f>
        <v>67.272727272727266</v>
      </c>
      <c r="I111" s="64">
        <f t="shared" si="14"/>
        <v>30514</v>
      </c>
      <c r="J111" s="64">
        <f t="shared" si="13"/>
        <v>0</v>
      </c>
      <c r="K111" s="101">
        <f>IFERROR(IF(D111=_Datum,Prognoseparameter!$C$14,
IF(_WachstumsrateKURZ="Bundesweit",IF(D111&gt;_Datum,
         K110+AVERAGE(F107:F110)*(1+_WR)*(1-(K110-VLOOKUP('Erkrankungs- und Strukturdaten'!$C$45,$D:$M,$K$1,FALSE))/$B$16),
         K112-$B$23*F112),
IF(D111&gt;_Datum,K110+G111,IF(G112="",K112/(K112^(1/N111)),K112-G112)))),"")</f>
        <v>0</v>
      </c>
      <c r="L111" s="64">
        <f>I111/'Erkrankungs- und Strukturdaten'!$C$7</f>
        <v>55479.999999999993</v>
      </c>
      <c r="M111" s="65">
        <f t="shared" si="15"/>
        <v>1.2140302523214227E-3</v>
      </c>
      <c r="N111" s="163">
        <v>108</v>
      </c>
      <c r="O111" s="208">
        <f t="shared" si="12"/>
        <v>1</v>
      </c>
    </row>
    <row r="112" spans="1:15" x14ac:dyDescent="0.2">
      <c r="A112" s="179"/>
      <c r="B112" s="179"/>
      <c r="D112" s="86">
        <v>43966</v>
      </c>
      <c r="E112" s="64">
        <f t="shared" si="11"/>
        <v>41</v>
      </c>
      <c r="F112" s="101">
        <v>41</v>
      </c>
      <c r="G112" s="140"/>
      <c r="H112" s="64">
        <f>E112/'Erkrankungs- und Strukturdaten'!$C$7</f>
        <v>74.545454545454533</v>
      </c>
      <c r="I112" s="64">
        <f t="shared" si="14"/>
        <v>30555</v>
      </c>
      <c r="J112" s="64">
        <f t="shared" si="13"/>
        <v>0</v>
      </c>
      <c r="K112" s="101">
        <f>IFERROR(IF(D112=_Datum,Prognoseparameter!$C$14,
IF(_WachstumsrateKURZ="Bundesweit",IF(D112&gt;_Datum,
         K111+AVERAGE(F108:F111)*(1+_WR)*(1-(K111-VLOOKUP('Erkrankungs- und Strukturdaten'!$C$45,$D:$M,$K$1,FALSE))/$B$16),
         K113-$B$23*F113),
IF(D112&gt;_Datum,K111+G112,IF(G113="",K113/(K113^(1/N112)),K113-G113)))),"")</f>
        <v>0</v>
      </c>
      <c r="L112" s="64">
        <f>I112/'Erkrankungs- und Strukturdaten'!$C$7</f>
        <v>55554.545454545449</v>
      </c>
      <c r="M112" s="65">
        <f t="shared" si="15"/>
        <v>1.3436455397522449E-3</v>
      </c>
      <c r="N112" s="163">
        <v>109</v>
      </c>
      <c r="O112" s="208">
        <f t="shared" si="12"/>
        <v>1</v>
      </c>
    </row>
    <row r="113" spans="1:15" x14ac:dyDescent="0.2">
      <c r="A113" s="179"/>
      <c r="B113" s="179"/>
      <c r="D113" s="86">
        <v>43967</v>
      </c>
      <c r="E113" s="64">
        <f t="shared" si="11"/>
        <v>15</v>
      </c>
      <c r="F113" s="101">
        <v>15</v>
      </c>
      <c r="G113" s="140"/>
      <c r="H113" s="64">
        <f>E113/'Erkrankungs- und Strukturdaten'!$C$7</f>
        <v>27.27272727272727</v>
      </c>
      <c r="I113" s="64">
        <f t="shared" si="14"/>
        <v>30570</v>
      </c>
      <c r="J113" s="64">
        <f t="shared" si="13"/>
        <v>0</v>
      </c>
      <c r="K113" s="101">
        <f>IFERROR(IF(D113=_Datum,Prognoseparameter!$C$14,
IF(_WachstumsrateKURZ="Bundesweit",IF(D113&gt;_Datum,
         K112+AVERAGE(F109:F112)*(1+_WR)*(1-(K112-VLOOKUP('Erkrankungs- und Strukturdaten'!$C$45,$D:$M,$K$1,FALSE))/$B$16),
         K114-$B$23*F114),
IF(D113&gt;_Datum,K112+G113,IF(G114="",K114/(K114^(1/N113)),K114-G114)))),"")</f>
        <v>0</v>
      </c>
      <c r="L113" s="64">
        <f>I113/'Erkrankungs- und Strukturdaten'!$C$7</f>
        <v>55581.818181818177</v>
      </c>
      <c r="M113" s="65">
        <f t="shared" si="15"/>
        <v>4.9091801669121256E-4</v>
      </c>
      <c r="N113" s="163">
        <v>110</v>
      </c>
      <c r="O113" s="208">
        <f t="shared" si="12"/>
        <v>1</v>
      </c>
    </row>
    <row r="114" spans="1:15" x14ac:dyDescent="0.2">
      <c r="A114" s="179"/>
      <c r="B114" s="179"/>
      <c r="D114" s="86">
        <v>43968</v>
      </c>
      <c r="E114" s="64">
        <f t="shared" si="11"/>
        <v>12</v>
      </c>
      <c r="F114" s="101">
        <v>12</v>
      </c>
      <c r="G114" s="140"/>
      <c r="H114" s="64">
        <f>E114/'Erkrankungs- und Strukturdaten'!$C$7</f>
        <v>21.818181818181817</v>
      </c>
      <c r="I114" s="64">
        <f t="shared" si="14"/>
        <v>30582</v>
      </c>
      <c r="J114" s="64">
        <f t="shared" si="13"/>
        <v>0</v>
      </c>
      <c r="K114" s="101">
        <f>IFERROR(IF(D114=_Datum,Prognoseparameter!$C$14,
IF(_WachstumsrateKURZ="Bundesweit",IF(D114&gt;_Datum,
         K113+AVERAGE(F110:F113)*(1+_WR)*(1-(K113-VLOOKUP('Erkrankungs- und Strukturdaten'!$C$45,$D:$M,$K$1,FALSE))/$B$16),
         K115-$B$23*F115),
IF(D114&gt;_Datum,K113+G114,IF(G115="",K115/(K115^(1/N114)),K115-G115)))),"")</f>
        <v>0</v>
      </c>
      <c r="L114" s="64">
        <f>I114/'Erkrankungs- und Strukturdaten'!$C$7</f>
        <v>55603.63636363636</v>
      </c>
      <c r="M114" s="65">
        <f t="shared" si="15"/>
        <v>3.9254170755642788E-4</v>
      </c>
      <c r="N114" s="163">
        <v>111</v>
      </c>
      <c r="O114" s="208">
        <f t="shared" si="12"/>
        <v>1</v>
      </c>
    </row>
    <row r="115" spans="1:15" x14ac:dyDescent="0.2">
      <c r="A115" s="179"/>
      <c r="B115" s="179"/>
      <c r="D115" s="86">
        <v>43969</v>
      </c>
      <c r="E115" s="64">
        <f t="shared" si="11"/>
        <v>34</v>
      </c>
      <c r="F115" s="101">
        <v>34</v>
      </c>
      <c r="G115" s="140"/>
      <c r="H115" s="64">
        <f>E115/'Erkrankungs- und Strukturdaten'!$C$7</f>
        <v>61.818181818181813</v>
      </c>
      <c r="I115" s="64">
        <f t="shared" si="14"/>
        <v>30616</v>
      </c>
      <c r="J115" s="64">
        <f t="shared" si="13"/>
        <v>0</v>
      </c>
      <c r="K115" s="101">
        <f>IFERROR(IF(D115=_Datum,Prognoseparameter!$C$14,
IF(_WachstumsrateKURZ="Bundesweit",IF(D115&gt;_Datum,
         K114+AVERAGE(F111:F114)*(1+_WR)*(1-(K114-VLOOKUP('Erkrankungs- und Strukturdaten'!$C$45,$D:$M,$K$1,FALSE))/$B$16),
         K116-$B$23*F116),
IF(D115&gt;_Datum,K114+G115,IF(G116="",K116/(K116^(1/N115)),K116-G116)))),"")</f>
        <v>0</v>
      </c>
      <c r="L115" s="64">
        <f>I115/'Erkrankungs- und Strukturdaten'!$C$7</f>
        <v>55665.454545454544</v>
      </c>
      <c r="M115" s="65">
        <f t="shared" si="15"/>
        <v>1.111765090576156E-3</v>
      </c>
      <c r="N115" s="163">
        <v>112</v>
      </c>
      <c r="O115" s="208">
        <f t="shared" si="12"/>
        <v>1</v>
      </c>
    </row>
    <row r="116" spans="1:15" x14ac:dyDescent="0.2">
      <c r="A116" s="179"/>
      <c r="B116" s="179"/>
      <c r="D116" s="86">
        <v>43970</v>
      </c>
      <c r="E116" s="64">
        <f t="shared" si="11"/>
        <v>36</v>
      </c>
      <c r="F116" s="101">
        <v>36</v>
      </c>
      <c r="G116" s="140"/>
      <c r="H116" s="64">
        <f>E116/'Erkrankungs- und Strukturdaten'!$C$7</f>
        <v>65.454545454545453</v>
      </c>
      <c r="I116" s="64">
        <f t="shared" si="14"/>
        <v>30652</v>
      </c>
      <c r="J116" s="64">
        <f t="shared" si="13"/>
        <v>0</v>
      </c>
      <c r="K116" s="101">
        <f>IFERROR(IF(D116=_Datum,Prognoseparameter!$C$14,
IF(_WachstumsrateKURZ="Bundesweit",IF(D116&gt;_Datum,
         K115+AVERAGE(F112:F115)*(1+_WR)*(1-(K115-VLOOKUP('Erkrankungs- und Strukturdaten'!$C$45,$D:$M,$K$1,FALSE))/$B$16),
         K117-$B$23*F117),
IF(D116&gt;_Datum,K115+G116,IF(G117="",K117/(K117^(1/N116)),K117-G117)))),"")</f>
        <v>0</v>
      </c>
      <c r="L116" s="64">
        <f>I116/'Erkrankungs- und Strukturdaten'!$C$7</f>
        <v>55730.909090909088</v>
      </c>
      <c r="M116" s="65">
        <f t="shared" si="15"/>
        <v>1.1758557616932323E-3</v>
      </c>
      <c r="N116" s="163">
        <v>113</v>
      </c>
      <c r="O116" s="208">
        <f t="shared" si="12"/>
        <v>1</v>
      </c>
    </row>
    <row r="117" spans="1:15" x14ac:dyDescent="0.2">
      <c r="A117" s="179"/>
      <c r="B117" s="179"/>
      <c r="D117" s="86">
        <v>43971</v>
      </c>
      <c r="E117" s="64">
        <f t="shared" si="11"/>
        <v>29</v>
      </c>
      <c r="F117" s="101">
        <v>29</v>
      </c>
      <c r="G117" s="140"/>
      <c r="H117" s="64">
        <f>E117/'Erkrankungs- und Strukturdaten'!$C$7</f>
        <v>52.72727272727272</v>
      </c>
      <c r="I117" s="64">
        <f t="shared" si="14"/>
        <v>30681</v>
      </c>
      <c r="J117" s="64">
        <f t="shared" si="13"/>
        <v>0</v>
      </c>
      <c r="K117" s="101">
        <f>IFERROR(IF(D117=_Datum,Prognoseparameter!$C$14,
IF(_WachstumsrateKURZ="Bundesweit",IF(D117&gt;_Datum,
         K116+AVERAGE(F113:F116)*(1+_WR)*(1-(K116-VLOOKUP('Erkrankungs- und Strukturdaten'!$C$45,$D:$M,$K$1,FALSE))/$B$16),
         K118-$B$23*F118),
IF(D117&gt;_Datum,K116+G117,IF(G118="",K118/(K118^(1/N117)),K118-G118)))),"")</f>
        <v>0</v>
      </c>
      <c r="L117" s="64">
        <f>I117/'Erkrankungs- und Strukturdaten'!$C$7</f>
        <v>55783.63636363636</v>
      </c>
      <c r="M117" s="65">
        <f t="shared" si="15"/>
        <v>9.4610465874983693E-4</v>
      </c>
      <c r="N117" s="163">
        <v>114</v>
      </c>
      <c r="O117" s="208">
        <f t="shared" si="12"/>
        <v>1</v>
      </c>
    </row>
    <row r="118" spans="1:15" x14ac:dyDescent="0.2">
      <c r="A118" s="179"/>
      <c r="B118" s="179"/>
      <c r="D118" s="86">
        <v>43972</v>
      </c>
      <c r="E118" s="64">
        <f t="shared" si="11"/>
        <v>11</v>
      </c>
      <c r="F118" s="101">
        <v>11</v>
      </c>
      <c r="G118" s="140"/>
      <c r="H118" s="64">
        <f>E118/'Erkrankungs- und Strukturdaten'!$C$7</f>
        <v>20</v>
      </c>
      <c r="I118" s="64">
        <f t="shared" si="14"/>
        <v>30692</v>
      </c>
      <c r="J118" s="64">
        <f t="shared" si="13"/>
        <v>0</v>
      </c>
      <c r="K118" s="101">
        <f>IFERROR(IF(D118=_Datum,Prognoseparameter!$C$14,
IF(_WachstumsrateKURZ="Bundesweit",IF(D118&gt;_Datum,
         K117+AVERAGE(F114:F117)*(1+_WR)*(1-(K117-VLOOKUP('Erkrankungs- und Strukturdaten'!$C$45,$D:$M,$K$1,FALSE))/$B$16),
         K119-$B$23*F119),
IF(D118&gt;_Datum,K117+G118,IF(G119="",K119/(K119^(1/N118)),K119-G119)))),"")</f>
        <v>0</v>
      </c>
      <c r="L118" s="64">
        <f>I118/'Erkrankungs- und Strukturdaten'!$C$7</f>
        <v>55803.63636363636</v>
      </c>
      <c r="M118" s="65">
        <f t="shared" si="15"/>
        <v>3.5852807926729899E-4</v>
      </c>
      <c r="N118" s="163">
        <v>115</v>
      </c>
      <c r="O118" s="208">
        <f t="shared" si="12"/>
        <v>1</v>
      </c>
    </row>
    <row r="119" spans="1:15" x14ac:dyDescent="0.2">
      <c r="A119" s="179"/>
      <c r="B119" s="179"/>
      <c r="D119" s="86">
        <v>43973</v>
      </c>
      <c r="E119" s="64">
        <f t="shared" si="11"/>
        <v>20</v>
      </c>
      <c r="F119" s="101">
        <v>20</v>
      </c>
      <c r="G119" s="140"/>
      <c r="H119" s="64">
        <f>E119/'Erkrankungs- und Strukturdaten'!$C$7</f>
        <v>36.36363636363636</v>
      </c>
      <c r="I119" s="64">
        <f t="shared" si="14"/>
        <v>30712</v>
      </c>
      <c r="J119" s="64">
        <f t="shared" si="13"/>
        <v>0</v>
      </c>
      <c r="K119" s="101">
        <f>IFERROR(IF(D119=_Datum,Prognoseparameter!$C$14,
IF(_WachstumsrateKURZ="Bundesweit",IF(D119&gt;_Datum,
         K118+AVERAGE(F115:F118)*(1+_WR)*(1-(K118-VLOOKUP('Erkrankungs- und Strukturdaten'!$C$45,$D:$M,$K$1,FALSE))/$B$16),
         K120-$B$23*F120),
IF(D119&gt;_Datum,K118+G119,IF(G120="",K120/(K120^(1/N119)),K120-G120)))),"")</f>
        <v>0</v>
      </c>
      <c r="L119" s="64">
        <f>I119/'Erkrankungs- und Strukturdaten'!$C$7</f>
        <v>55839.999999999993</v>
      </c>
      <c r="M119" s="65">
        <f t="shared" si="15"/>
        <v>6.5163560536947744E-4</v>
      </c>
      <c r="N119" s="163">
        <v>116</v>
      </c>
      <c r="O119" s="208">
        <f t="shared" si="12"/>
        <v>1</v>
      </c>
    </row>
    <row r="120" spans="1:15" x14ac:dyDescent="0.2">
      <c r="A120" s="179"/>
      <c r="B120" s="179"/>
      <c r="D120" s="86">
        <v>43974</v>
      </c>
      <c r="E120" s="64">
        <f t="shared" si="11"/>
        <v>14</v>
      </c>
      <c r="F120" s="101">
        <v>14</v>
      </c>
      <c r="G120" s="140"/>
      <c r="H120" s="64">
        <f>E120/'Erkrankungs- und Strukturdaten'!$C$7</f>
        <v>25.454545454545453</v>
      </c>
      <c r="I120" s="64">
        <f t="shared" si="14"/>
        <v>30726</v>
      </c>
      <c r="J120" s="64">
        <f t="shared" si="13"/>
        <v>0</v>
      </c>
      <c r="K120" s="101">
        <f>IFERROR(IF(D120=_Datum,Prognoseparameter!$C$14,
IF(_WachstumsrateKURZ="Bundesweit",IF(D120&gt;_Datum,
         K119+AVERAGE(F116:F119)*(1+_WR)*(1-(K119-VLOOKUP('Erkrankungs- und Strukturdaten'!$C$45,$D:$M,$K$1,FALSE))/$B$16),
         K121-$B$23*F121),
IF(D120&gt;_Datum,K119+G120,IF(G121="",K121/(K121^(1/N120)),K121-G121)))),"")</f>
        <v>0</v>
      </c>
      <c r="L120" s="64">
        <f>I120/'Erkrankungs- und Strukturdaten'!$C$7</f>
        <v>55865.454545454544</v>
      </c>
      <c r="M120" s="65">
        <f t="shared" si="15"/>
        <v>4.5584787705131547E-4</v>
      </c>
      <c r="N120" s="163">
        <v>117</v>
      </c>
      <c r="O120" s="208">
        <f t="shared" si="12"/>
        <v>1</v>
      </c>
    </row>
    <row r="121" spans="1:15" x14ac:dyDescent="0.2">
      <c r="A121" s="179"/>
      <c r="B121" s="179"/>
      <c r="D121" s="86">
        <v>43975</v>
      </c>
      <c r="E121" s="64">
        <f t="shared" si="11"/>
        <v>10</v>
      </c>
      <c r="F121" s="101">
        <v>10</v>
      </c>
      <c r="G121" s="140"/>
      <c r="H121" s="64">
        <f>E121/'Erkrankungs- und Strukturdaten'!$C$7</f>
        <v>18.18181818181818</v>
      </c>
      <c r="I121" s="64">
        <f t="shared" si="14"/>
        <v>30736</v>
      </c>
      <c r="J121" s="64">
        <f t="shared" si="13"/>
        <v>0</v>
      </c>
      <c r="K121" s="101">
        <f>IFERROR(IF(D121=_Datum,Prognoseparameter!$C$14,
IF(_WachstumsrateKURZ="Bundesweit",IF(D121&gt;_Datum,
         K120+AVERAGE(F117:F120)*(1+_WR)*(1-(K120-VLOOKUP('Erkrankungs- und Strukturdaten'!$C$45,$D:$M,$K$1,FALSE))/$B$16),
         K122-$B$23*F122),
IF(D121&gt;_Datum,K120+G121,IF(G122="",K122/(K122^(1/N121)),K122-G122)))),"")</f>
        <v>0</v>
      </c>
      <c r="L121" s="64">
        <f>I121/'Erkrankungs- und Strukturdaten'!$C$7</f>
        <v>55883.63636363636</v>
      </c>
      <c r="M121" s="65">
        <f t="shared" si="15"/>
        <v>3.2545726746078239E-4</v>
      </c>
      <c r="N121" s="163">
        <v>118</v>
      </c>
      <c r="O121" s="208">
        <f t="shared" si="12"/>
        <v>1</v>
      </c>
    </row>
    <row r="122" spans="1:15" x14ac:dyDescent="0.2">
      <c r="A122" s="179"/>
      <c r="B122" s="179"/>
      <c r="D122" s="86">
        <v>43976</v>
      </c>
      <c r="E122" s="64">
        <f t="shared" si="11"/>
        <v>15</v>
      </c>
      <c r="F122" s="101">
        <v>15</v>
      </c>
      <c r="G122" s="140"/>
      <c r="H122" s="64">
        <f>E122/'Erkrankungs- und Strukturdaten'!$C$7</f>
        <v>27.27272727272727</v>
      </c>
      <c r="I122" s="64">
        <f t="shared" si="14"/>
        <v>30751</v>
      </c>
      <c r="J122" s="64">
        <f t="shared" si="13"/>
        <v>0</v>
      </c>
      <c r="K122" s="101">
        <f>IFERROR(IF(D122=_Datum,Prognoseparameter!$C$14,
IF(_WachstumsrateKURZ="Bundesweit",IF(D122&gt;_Datum,
         K121+AVERAGE(F118:F121)*(1+_WR)*(1-(K121-VLOOKUP('Erkrankungs- und Strukturdaten'!$C$45,$D:$M,$K$1,FALSE))/$B$16),
         K123-$B$23*F123),
IF(D122&gt;_Datum,K121+G122,IF(G123="",K123/(K123^(1/N122)),K123-G123)))),"")</f>
        <v>0</v>
      </c>
      <c r="L122" s="64">
        <f>I122/'Erkrankungs- und Strukturdaten'!$C$7</f>
        <v>55910.909090909088</v>
      </c>
      <c r="M122" s="65">
        <f t="shared" si="15"/>
        <v>4.8802706923477355E-4</v>
      </c>
      <c r="N122" s="163">
        <v>119</v>
      </c>
      <c r="O122" s="208">
        <f t="shared" si="12"/>
        <v>1</v>
      </c>
    </row>
    <row r="123" spans="1:15" x14ac:dyDescent="0.2">
      <c r="A123" s="179"/>
      <c r="B123" s="179"/>
      <c r="D123" s="86">
        <v>43977</v>
      </c>
      <c r="E123" s="64">
        <f t="shared" si="11"/>
        <v>18</v>
      </c>
      <c r="F123" s="101">
        <v>18</v>
      </c>
      <c r="G123" s="140"/>
      <c r="H123" s="64">
        <f>E123/'Erkrankungs- und Strukturdaten'!$C$7</f>
        <v>32.727272727272727</v>
      </c>
      <c r="I123" s="64">
        <f t="shared" si="14"/>
        <v>30769</v>
      </c>
      <c r="J123" s="64">
        <f t="shared" si="13"/>
        <v>0</v>
      </c>
      <c r="K123" s="101">
        <f>IFERROR(IF(D123=_Datum,Prognoseparameter!$C$14,
IF(_WachstumsrateKURZ="Bundesweit",IF(D123&gt;_Datum,
         K122+AVERAGE(F119:F122)*(1+_WR)*(1-(K122-VLOOKUP('Erkrankungs- und Strukturdaten'!$C$45,$D:$M,$K$1,FALSE))/$B$16),
         K124-$B$23*F124),
IF(D123&gt;_Datum,K122+G123,IF(G124="",K124/(K124^(1/N123)),K124-G124)))),"")</f>
        <v>0</v>
      </c>
      <c r="L123" s="64">
        <f>I123/'Erkrankungs- und Strukturdaten'!$C$7</f>
        <v>55943.63636363636</v>
      </c>
      <c r="M123" s="65">
        <f t="shared" si="15"/>
        <v>5.8534681798965891E-4</v>
      </c>
      <c r="N123" s="163">
        <v>120</v>
      </c>
      <c r="O123" s="208">
        <f t="shared" si="12"/>
        <v>1</v>
      </c>
    </row>
    <row r="124" spans="1:15" x14ac:dyDescent="0.2">
      <c r="A124" s="179"/>
      <c r="B124" s="179"/>
      <c r="D124" s="86">
        <v>43978</v>
      </c>
      <c r="E124" s="64">
        <f t="shared" si="11"/>
        <v>25</v>
      </c>
      <c r="F124" s="101">
        <v>25</v>
      </c>
      <c r="G124" s="140"/>
      <c r="H124" s="64">
        <f>E124/'Erkrankungs- und Strukturdaten'!$C$7</f>
        <v>45.454545454545453</v>
      </c>
      <c r="I124" s="64">
        <f t="shared" si="14"/>
        <v>30794</v>
      </c>
      <c r="J124" s="64">
        <f t="shared" si="13"/>
        <v>0</v>
      </c>
      <c r="K124" s="101">
        <f>IFERROR(IF(D124=_Datum,Prognoseparameter!$C$14,
IF(_WachstumsrateKURZ="Bundesweit",IF(D124&gt;_Datum,
         K123+AVERAGE(F120:F123)*(1+_WR)*(1-(K123-VLOOKUP('Erkrankungs- und Strukturdaten'!$C$45,$D:$M,$K$1,FALSE))/$B$16),
         K125-$B$23*F125),
IF(D124&gt;_Datum,K123+G124,IF(G125="",K125/(K125^(1/N124)),K125-G125)))),"")</f>
        <v>0</v>
      </c>
      <c r="L124" s="64">
        <f>I124/'Erkrankungs- und Strukturdaten'!$C$7</f>
        <v>55989.090909090904</v>
      </c>
      <c r="M124" s="65">
        <f t="shared" si="15"/>
        <v>8.1250609379570347E-4</v>
      </c>
      <c r="N124" s="163">
        <v>121</v>
      </c>
      <c r="O124" s="208">
        <f t="shared" si="12"/>
        <v>1</v>
      </c>
    </row>
    <row r="125" spans="1:15" x14ac:dyDescent="0.2">
      <c r="A125" s="179"/>
      <c r="B125" s="179"/>
      <c r="D125" s="86">
        <v>43979</v>
      </c>
      <c r="E125" s="64">
        <f t="shared" si="11"/>
        <v>30</v>
      </c>
      <c r="F125" s="101">
        <v>30</v>
      </c>
      <c r="G125" s="140"/>
      <c r="H125" s="64">
        <f>E125/'Erkrankungs- und Strukturdaten'!$C$7</f>
        <v>54.54545454545454</v>
      </c>
      <c r="I125" s="64">
        <f t="shared" si="14"/>
        <v>30824</v>
      </c>
      <c r="J125" s="64">
        <f t="shared" si="13"/>
        <v>0</v>
      </c>
      <c r="K125" s="101">
        <f>IFERROR(IF(D125=_Datum,Prognoseparameter!$C$14,
IF(_WachstumsrateKURZ="Bundesweit",IF(D125&gt;_Datum,
         K124+AVERAGE(F121:F124)*(1+_WR)*(1-(K124-VLOOKUP('Erkrankungs- und Strukturdaten'!$C$45,$D:$M,$K$1,FALSE))/$B$16),
         K126-$B$23*F126),
IF(D125&gt;_Datum,K124+G125,IF(G126="",K126/(K126^(1/N125)),K126-G126)))),"")</f>
        <v>0</v>
      </c>
      <c r="L125" s="64">
        <f>I125/'Erkrankungs- und Strukturdaten'!$C$7</f>
        <v>56043.63636363636</v>
      </c>
      <c r="M125" s="65">
        <f t="shared" si="15"/>
        <v>9.7421575631616547E-4</v>
      </c>
      <c r="N125" s="163">
        <v>122</v>
      </c>
      <c r="O125" s="208">
        <f t="shared" si="12"/>
        <v>1</v>
      </c>
    </row>
    <row r="126" spans="1:15" x14ac:dyDescent="0.2">
      <c r="A126" s="179"/>
      <c r="B126" s="179"/>
      <c r="D126" s="86">
        <v>43980</v>
      </c>
      <c r="E126" s="64">
        <f t="shared" si="11"/>
        <v>21</v>
      </c>
      <c r="F126" s="101">
        <v>21</v>
      </c>
      <c r="G126" s="140"/>
      <c r="H126" s="64">
        <f>E126/'Erkrankungs- und Strukturdaten'!$C$7</f>
        <v>38.18181818181818</v>
      </c>
      <c r="I126" s="64">
        <f t="shared" si="14"/>
        <v>30845</v>
      </c>
      <c r="J126" s="64">
        <f t="shared" si="13"/>
        <v>0</v>
      </c>
      <c r="K126" s="101">
        <f>IFERROR(IF(D126=_Datum,Prognoseparameter!$C$14,
IF(_WachstumsrateKURZ="Bundesweit",IF(D126&gt;_Datum,
         K125+AVERAGE(F122:F125)*(1+_WR)*(1-(K125-VLOOKUP('Erkrankungs- und Strukturdaten'!$C$45,$D:$M,$K$1,FALSE))/$B$16),
         K127-$B$23*F127),
IF(D126&gt;_Datum,K125+G126,IF(G127="",K127/(K127^(1/N126)),K127-G127)))),"")</f>
        <v>0</v>
      </c>
      <c r="L126" s="64">
        <f>I126/'Erkrankungs- und Strukturdaten'!$C$7</f>
        <v>56081.818181818177</v>
      </c>
      <c r="M126" s="65">
        <f t="shared" si="15"/>
        <v>6.8128730859070858E-4</v>
      </c>
      <c r="N126" s="163">
        <v>123</v>
      </c>
      <c r="O126" s="208">
        <f t="shared" si="12"/>
        <v>1</v>
      </c>
    </row>
    <row r="127" spans="1:15" x14ac:dyDescent="0.2">
      <c r="A127" s="179"/>
      <c r="B127" s="179"/>
      <c r="D127" s="86">
        <v>43981</v>
      </c>
      <c r="E127" s="64">
        <f t="shared" si="11"/>
        <v>10</v>
      </c>
      <c r="F127" s="101">
        <v>10</v>
      </c>
      <c r="G127" s="140"/>
      <c r="H127" s="64">
        <f>E127/'Erkrankungs- und Strukturdaten'!$C$7</f>
        <v>18.18181818181818</v>
      </c>
      <c r="I127" s="64">
        <f t="shared" si="14"/>
        <v>30855</v>
      </c>
      <c r="J127" s="64">
        <f t="shared" si="13"/>
        <v>0</v>
      </c>
      <c r="K127" s="101">
        <f>IFERROR(IF(D127=_Datum,Prognoseparameter!$C$14,
IF(_WachstumsrateKURZ="Bundesweit",IF(D127&gt;_Datum,
         K126+AVERAGE(F123:F126)*(1+_WR)*(1-(K126-VLOOKUP('Erkrankungs- und Strukturdaten'!$C$45,$D:$M,$K$1,FALSE))/$B$16),
         K128-$B$23*F128),
IF(D127&gt;_Datum,K126+G127,IF(G128="",K128/(K128^(1/N127)),K128-G128)))),"")</f>
        <v>0</v>
      </c>
      <c r="L127" s="64">
        <f>I127/'Erkrankungs- und Strukturdaten'!$C$7</f>
        <v>56099.999999999993</v>
      </c>
      <c r="M127" s="65">
        <f t="shared" si="15"/>
        <v>3.2420165342843249E-4</v>
      </c>
      <c r="N127" s="163">
        <v>124</v>
      </c>
      <c r="O127" s="208">
        <f t="shared" si="12"/>
        <v>1</v>
      </c>
    </row>
    <row r="128" spans="1:15" x14ac:dyDescent="0.2">
      <c r="A128" s="179"/>
      <c r="B128" s="179"/>
      <c r="D128" s="86">
        <v>43982</v>
      </c>
      <c r="E128" s="64">
        <f t="shared" si="11"/>
        <v>7</v>
      </c>
      <c r="F128" s="101">
        <v>7</v>
      </c>
      <c r="G128" s="140"/>
      <c r="H128" s="64">
        <f>E128/'Erkrankungs- und Strukturdaten'!$C$7</f>
        <v>12.727272727272727</v>
      </c>
      <c r="I128" s="64">
        <f t="shared" si="14"/>
        <v>30862</v>
      </c>
      <c r="J128" s="64">
        <f t="shared" si="13"/>
        <v>0</v>
      </c>
      <c r="K128" s="101">
        <f>IFERROR(IF(D128=_Datum,Prognoseparameter!$C$14,
IF(_WachstumsrateKURZ="Bundesweit",IF(D128&gt;_Datum,
         K127+AVERAGE(F124:F127)*(1+_WR)*(1-(K127-VLOOKUP('Erkrankungs- und Strukturdaten'!$C$45,$D:$M,$K$1,FALSE))/$B$16),
         K129-$B$23*F129),
IF(D128&gt;_Datum,K127+G128,IF(G129="",K129/(K129^(1/N128)),K129-G129)))),"")</f>
        <v>0</v>
      </c>
      <c r="L128" s="64">
        <f>I128/'Erkrankungs- und Strukturdaten'!$C$7</f>
        <v>56112.727272727265</v>
      </c>
      <c r="M128" s="65">
        <f t="shared" si="15"/>
        <v>2.2686760654675093E-4</v>
      </c>
      <c r="N128" s="163">
        <v>125</v>
      </c>
      <c r="O128" s="208">
        <f t="shared" si="12"/>
        <v>1</v>
      </c>
    </row>
    <row r="129" spans="1:15" x14ac:dyDescent="0.2">
      <c r="A129" s="179"/>
      <c r="B129" s="179"/>
      <c r="D129" s="86">
        <v>43983</v>
      </c>
      <c r="E129" s="64">
        <f t="shared" si="11"/>
        <v>3</v>
      </c>
      <c r="F129" s="101">
        <v>3</v>
      </c>
      <c r="G129" s="140"/>
      <c r="H129" s="64">
        <f>E129/'Erkrankungs- und Strukturdaten'!$C$7</f>
        <v>5.4545454545454541</v>
      </c>
      <c r="I129" s="64">
        <f t="shared" si="14"/>
        <v>30865</v>
      </c>
      <c r="J129" s="64">
        <f t="shared" si="13"/>
        <v>0</v>
      </c>
      <c r="K129" s="101">
        <f>IFERROR(IF(D129=_Datum,Prognoseparameter!$C$14,
IF(_WachstumsrateKURZ="Bundesweit",IF(D129&gt;_Datum,
         K128+AVERAGE(F125:F128)*(1+_WR)*(1-(K128-VLOOKUP('Erkrankungs- und Strukturdaten'!$C$45,$D:$M,$K$1,FALSE))/$B$16),
         K130-$B$23*F130),
IF(D129&gt;_Datum,K128+G129,IF(G130="",K130/(K130^(1/N129)),K130-G130)))),"")</f>
        <v>0</v>
      </c>
      <c r="L129" s="64">
        <f>I129/'Erkrankungs- und Strukturdaten'!$C$7</f>
        <v>56118.181818181816</v>
      </c>
      <c r="M129" s="65">
        <f t="shared" si="15"/>
        <v>9.7206921132784649E-5</v>
      </c>
      <c r="N129" s="163">
        <v>126</v>
      </c>
      <c r="O129" s="208">
        <f t="shared" si="12"/>
        <v>1</v>
      </c>
    </row>
    <row r="130" spans="1:15" x14ac:dyDescent="0.2">
      <c r="A130" s="179"/>
      <c r="B130" s="179"/>
      <c r="D130" s="86">
        <v>43984</v>
      </c>
      <c r="E130" s="64">
        <f t="shared" si="11"/>
        <v>23</v>
      </c>
      <c r="F130" s="101">
        <v>23</v>
      </c>
      <c r="G130" s="140"/>
      <c r="H130" s="64">
        <f>E130/'Erkrankungs- und Strukturdaten'!$C$7</f>
        <v>41.818181818181813</v>
      </c>
      <c r="I130" s="64">
        <f t="shared" si="14"/>
        <v>30888</v>
      </c>
      <c r="J130" s="64">
        <f t="shared" si="13"/>
        <v>0</v>
      </c>
      <c r="K130" s="101">
        <f>IFERROR(IF(D130=_Datum,Prognoseparameter!$C$14,
IF(_WachstumsrateKURZ="Bundesweit",IF(D130&gt;_Datum,
         K129+AVERAGE(F126:F129)*(1+_WR)*(1-(K129-VLOOKUP('Erkrankungs- und Strukturdaten'!$C$45,$D:$M,$K$1,FALSE))/$B$16),
         K131-$B$23*F131),
IF(D130&gt;_Datum,K129+G130,IF(G131="",K131/(K131^(1/N130)),K131-G131)))),"")</f>
        <v>0</v>
      </c>
      <c r="L130" s="64">
        <f>I130/'Erkrankungs- und Strukturdaten'!$C$7</f>
        <v>56159.999999999993</v>
      </c>
      <c r="M130" s="65">
        <f t="shared" si="15"/>
        <v>7.4518062530374207E-4</v>
      </c>
      <c r="N130" s="163">
        <v>127</v>
      </c>
      <c r="O130" s="208">
        <f t="shared" si="12"/>
        <v>1</v>
      </c>
    </row>
    <row r="131" spans="1:15" x14ac:dyDescent="0.2">
      <c r="A131" s="179"/>
      <c r="B131" s="179"/>
      <c r="D131" s="86">
        <v>43985</v>
      </c>
      <c r="E131" s="64">
        <f t="shared" si="11"/>
        <v>23</v>
      </c>
      <c r="F131" s="101">
        <v>23</v>
      </c>
      <c r="G131" s="140"/>
      <c r="H131" s="64">
        <f>E131/'Erkrankungs- und Strukturdaten'!$C$7</f>
        <v>41.818181818181813</v>
      </c>
      <c r="I131" s="64">
        <f t="shared" si="14"/>
        <v>30911</v>
      </c>
      <c r="J131" s="64">
        <f t="shared" si="13"/>
        <v>0</v>
      </c>
      <c r="K131" s="101">
        <f>IFERROR(IF(D131=_Datum,Prognoseparameter!$C$14,
IF(_WachstumsrateKURZ="Bundesweit",IF(D131&gt;_Datum,
         K130+AVERAGE(F127:F130)*(1+_WR)*(1-(K130-VLOOKUP('Erkrankungs- und Strukturdaten'!$C$45,$D:$M,$K$1,FALSE))/$B$16),
         K132-$B$23*F132),
IF(D131&gt;_Datum,K130+G131,IF(G132="",K132/(K132^(1/N131)),K132-G132)))),"")</f>
        <v>0</v>
      </c>
      <c r="L131" s="64">
        <f>I131/'Erkrankungs- und Strukturdaten'!$C$7</f>
        <v>56201.818181818177</v>
      </c>
      <c r="M131" s="65">
        <f t="shared" si="15"/>
        <v>7.4462574462574459E-4</v>
      </c>
      <c r="N131" s="163">
        <v>128</v>
      </c>
      <c r="O131" s="208">
        <f t="shared" si="12"/>
        <v>1</v>
      </c>
    </row>
    <row r="132" spans="1:15" x14ac:dyDescent="0.2">
      <c r="A132" s="179"/>
      <c r="B132" s="179"/>
      <c r="D132" s="86">
        <v>43986</v>
      </c>
      <c r="E132" s="64">
        <f t="shared" ref="E132:E195" si="16">IF(_AusgangswertKURZ="Bevölkerungsanteil",
$B$26*IF(F132=ROUNDDOWN(F132,0),F132,F132*VLOOKUP(WEEKDAY($D132,1),$A$51:$B$57,$B$1,FALSE)),
$B$17*IF(G132=ROUNDDOWN(G132,0),G132,G132*VLOOKUP(WEEKDAY($D132,1),$A$51:$B$57,$B$1,FALSE)))</f>
        <v>17</v>
      </c>
      <c r="F132" s="101">
        <v>17</v>
      </c>
      <c r="G132" s="140"/>
      <c r="H132" s="64">
        <f>E132/'Erkrankungs- und Strukturdaten'!$C$7</f>
        <v>30.909090909090907</v>
      </c>
      <c r="I132" s="64">
        <f t="shared" si="14"/>
        <v>30928</v>
      </c>
      <c r="J132" s="64">
        <f t="shared" si="13"/>
        <v>0</v>
      </c>
      <c r="K132" s="101">
        <f>IFERROR(IF(D132=_Datum,Prognoseparameter!$C$14,
IF(_WachstumsrateKURZ="Bundesweit",IF(D132&gt;_Datum,
         K131+AVERAGE(F128:F131)*(1+_WR)*(1-(K131-VLOOKUP('Erkrankungs- und Strukturdaten'!$C$45,$D:$M,$K$1,FALSE))/$B$16),
         K133-$B$23*F133),
IF(D132&gt;_Datum,K131+G132,IF(G133="",K133/(K133^(1/N132)),K133-G133)))),"")</f>
        <v>0</v>
      </c>
      <c r="L132" s="64">
        <f>I132/'Erkrankungs- und Strukturdaten'!$C$7</f>
        <v>56232.727272727265</v>
      </c>
      <c r="M132" s="65">
        <f t="shared" si="15"/>
        <v>5.4996603150981856E-4</v>
      </c>
      <c r="N132" s="163">
        <v>129</v>
      </c>
      <c r="O132" s="208">
        <f t="shared" ref="O132:O195" si="17">IF(F132=ROUNDDOWN(F132,0),1,0)</f>
        <v>1</v>
      </c>
    </row>
    <row r="133" spans="1:15" x14ac:dyDescent="0.2">
      <c r="A133" s="179"/>
      <c r="B133" s="179"/>
      <c r="D133" s="86">
        <v>43987</v>
      </c>
      <c r="E133" s="64">
        <f t="shared" si="16"/>
        <v>15</v>
      </c>
      <c r="F133" s="101">
        <v>15</v>
      </c>
      <c r="G133" s="140"/>
      <c r="H133" s="64">
        <f>E133/'Erkrankungs- und Strukturdaten'!$C$7</f>
        <v>27.27272727272727</v>
      </c>
      <c r="I133" s="64">
        <f t="shared" si="14"/>
        <v>30943</v>
      </c>
      <c r="J133" s="64">
        <f t="shared" ref="J133:J196" si="18">J132+G133</f>
        <v>0</v>
      </c>
      <c r="K133" s="101">
        <f>IFERROR(IF(D133=_Datum,Prognoseparameter!$C$14,
IF(_WachstumsrateKURZ="Bundesweit",IF(D133&gt;_Datum,
         K132+AVERAGE(F129:F132)*(1+_WR)*(1-(K132-VLOOKUP('Erkrankungs- und Strukturdaten'!$C$45,$D:$M,$K$1,FALSE))/$B$16),
         K134-$B$23*F134),
IF(D133&gt;_Datum,K132+G133,IF(G134="",K134/(K134^(1/N133)),K134-G134)))),"")</f>
        <v>0</v>
      </c>
      <c r="L133" s="64">
        <f>I133/'Erkrankungs- und Strukturdaten'!$C$7</f>
        <v>56259.999999999993</v>
      </c>
      <c r="M133" s="65">
        <f t="shared" si="15"/>
        <v>4.849974133471288E-4</v>
      </c>
      <c r="N133" s="163">
        <v>130</v>
      </c>
      <c r="O133" s="208">
        <f t="shared" si="17"/>
        <v>1</v>
      </c>
    </row>
    <row r="134" spans="1:15" x14ac:dyDescent="0.2">
      <c r="A134" s="179"/>
      <c r="B134" s="179"/>
      <c r="D134" s="86">
        <v>43988</v>
      </c>
      <c r="E134" s="64">
        <f t="shared" si="16"/>
        <v>10</v>
      </c>
      <c r="F134" s="101">
        <v>10</v>
      </c>
      <c r="G134" s="140"/>
      <c r="H134" s="64">
        <f>E134/'Erkrankungs- und Strukturdaten'!$C$7</f>
        <v>18.18181818181818</v>
      </c>
      <c r="I134" s="64">
        <f t="shared" ref="I134:I197" si="19">I133+F134</f>
        <v>30953</v>
      </c>
      <c r="J134" s="64">
        <f t="shared" si="18"/>
        <v>0</v>
      </c>
      <c r="K134" s="101">
        <f>IFERROR(IF(D134=_Datum,Prognoseparameter!$C$14,
IF(_WachstumsrateKURZ="Bundesweit",IF(D134&gt;_Datum,
         K133+AVERAGE(F130:F133)*(1+_WR)*(1-(K133-VLOOKUP('Erkrankungs- und Strukturdaten'!$C$45,$D:$M,$K$1,FALSE))/$B$16),
         K135-$B$23*F135),
IF(D134&gt;_Datum,K133+G134,IF(G135="",K135/(K135^(1/N134)),K135-G135)))),"")</f>
        <v>0</v>
      </c>
      <c r="L134" s="64">
        <f>I134/'Erkrankungs- und Strukturdaten'!$C$7</f>
        <v>56278.181818181816</v>
      </c>
      <c r="M134" s="65">
        <f t="shared" ref="M134:M197" si="20">IFERROR((I134-I133)/I133,0)</f>
        <v>3.2317486992211483E-4</v>
      </c>
      <c r="N134" s="163">
        <v>131</v>
      </c>
      <c r="O134" s="208">
        <f t="shared" si="17"/>
        <v>1</v>
      </c>
    </row>
    <row r="135" spans="1:15" x14ac:dyDescent="0.2">
      <c r="A135" s="179"/>
      <c r="B135" s="179"/>
      <c r="D135" s="86">
        <v>43989</v>
      </c>
      <c r="E135" s="64">
        <f t="shared" si="16"/>
        <v>8</v>
      </c>
      <c r="F135" s="101">
        <v>8</v>
      </c>
      <c r="G135" s="140"/>
      <c r="H135" s="64">
        <f>E135/'Erkrankungs- und Strukturdaten'!$C$7</f>
        <v>14.545454545454545</v>
      </c>
      <c r="I135" s="64">
        <f t="shared" si="19"/>
        <v>30961</v>
      </c>
      <c r="J135" s="64">
        <f t="shared" si="18"/>
        <v>0</v>
      </c>
      <c r="K135" s="101">
        <f>IFERROR(IF(D135=_Datum,Prognoseparameter!$C$14,
IF(_WachstumsrateKURZ="Bundesweit",IF(D135&gt;_Datum,
         K134+AVERAGE(F131:F134)*(1+_WR)*(1-(K134-VLOOKUP('Erkrankungs- und Strukturdaten'!$C$45,$D:$M,$K$1,FALSE))/$B$16),
         K136-$B$23*F136),
IF(D135&gt;_Datum,K134+G135,IF(G136="",K136/(K136^(1/N135)),K136-G136)))),"")</f>
        <v>0</v>
      </c>
      <c r="L135" s="64">
        <f>I135/'Erkrankungs- und Strukturdaten'!$C$7</f>
        <v>56292.727272727265</v>
      </c>
      <c r="M135" s="65">
        <f t="shared" si="20"/>
        <v>2.5845636933415176E-4</v>
      </c>
      <c r="N135" s="163">
        <v>132</v>
      </c>
      <c r="O135" s="208">
        <f t="shared" si="17"/>
        <v>1</v>
      </c>
    </row>
    <row r="136" spans="1:15" x14ac:dyDescent="0.2">
      <c r="A136" s="179"/>
      <c r="B136" s="179"/>
      <c r="D136" s="86">
        <v>43990</v>
      </c>
      <c r="E136" s="64">
        <f t="shared" si="16"/>
        <v>25</v>
      </c>
      <c r="F136" s="101">
        <v>25</v>
      </c>
      <c r="G136" s="140"/>
      <c r="H136" s="64">
        <f>E136/'Erkrankungs- und Strukturdaten'!$C$7</f>
        <v>45.454545454545453</v>
      </c>
      <c r="I136" s="64">
        <f t="shared" si="19"/>
        <v>30986</v>
      </c>
      <c r="J136" s="64">
        <f t="shared" si="18"/>
        <v>0</v>
      </c>
      <c r="K136" s="101">
        <f>IFERROR(IF(D136=_Datum,Prognoseparameter!$C$14,
IF(_WachstumsrateKURZ="Bundesweit",IF(D136&gt;_Datum,
         K135+AVERAGE(F132:F135)*(1+_WR)*(1-(K135-VLOOKUP('Erkrankungs- und Strukturdaten'!$C$45,$D:$M,$K$1,FALSE))/$B$16),
         K137-$B$23*F137),
IF(D136&gt;_Datum,K135+G136,IF(G137="",K137/(K137^(1/N136)),K137-G137)))),"")</f>
        <v>0</v>
      </c>
      <c r="L136" s="64">
        <f>I136/'Erkrankungs- und Strukturdaten'!$C$7</f>
        <v>56338.181818181816</v>
      </c>
      <c r="M136" s="65">
        <f t="shared" si="20"/>
        <v>8.0746745906139987E-4</v>
      </c>
      <c r="N136" s="163">
        <v>133</v>
      </c>
      <c r="O136" s="208">
        <f t="shared" si="17"/>
        <v>1</v>
      </c>
    </row>
    <row r="137" spans="1:15" x14ac:dyDescent="0.2">
      <c r="A137" s="179"/>
      <c r="B137" s="179"/>
      <c r="D137" s="86">
        <v>43991</v>
      </c>
      <c r="E137" s="64">
        <f t="shared" si="16"/>
        <v>11</v>
      </c>
      <c r="F137" s="101">
        <v>11</v>
      </c>
      <c r="G137" s="140"/>
      <c r="H137" s="64">
        <f>E137/'Erkrankungs- und Strukturdaten'!$C$7</f>
        <v>20</v>
      </c>
      <c r="I137" s="64">
        <f t="shared" si="19"/>
        <v>30997</v>
      </c>
      <c r="J137" s="64">
        <f t="shared" si="18"/>
        <v>0</v>
      </c>
      <c r="K137" s="101">
        <f>IFERROR(IF(D137=_Datum,Prognoseparameter!$C$14,
IF(_WachstumsrateKURZ="Bundesweit",IF(D137&gt;_Datum,
         K136+AVERAGE(F133:F136)*(1+_WR)*(1-(K136-VLOOKUP('Erkrankungs- und Strukturdaten'!$C$45,$D:$M,$K$1,FALSE))/$B$16),
         K138-$B$23*F138),
IF(D137&gt;_Datum,K136+G137,IF(G138="",K138/(K138^(1/N137)),K138-G138)))),"")</f>
        <v>0</v>
      </c>
      <c r="L137" s="64">
        <f>I137/'Erkrankungs- und Strukturdaten'!$C$7</f>
        <v>56358.181818181816</v>
      </c>
      <c r="M137" s="65">
        <f t="shared" si="20"/>
        <v>3.5499903182082228E-4</v>
      </c>
      <c r="N137" s="163">
        <v>134</v>
      </c>
      <c r="O137" s="208">
        <f t="shared" si="17"/>
        <v>1</v>
      </c>
    </row>
    <row r="138" spans="1:15" x14ac:dyDescent="0.2">
      <c r="A138" s="179"/>
      <c r="B138" s="179"/>
      <c r="D138" s="86">
        <v>43992</v>
      </c>
      <c r="E138" s="64">
        <f t="shared" si="16"/>
        <v>24</v>
      </c>
      <c r="F138" s="101">
        <v>24</v>
      </c>
      <c r="G138" s="140"/>
      <c r="H138" s="64">
        <f>E138/'Erkrankungs- und Strukturdaten'!$C$7</f>
        <v>43.636363636363633</v>
      </c>
      <c r="I138" s="64">
        <f t="shared" si="19"/>
        <v>31021</v>
      </c>
      <c r="J138" s="64">
        <f t="shared" si="18"/>
        <v>0</v>
      </c>
      <c r="K138" s="101">
        <f>IFERROR(IF(D138=_Datum,Prognoseparameter!$C$14,
IF(_WachstumsrateKURZ="Bundesweit",IF(D138&gt;_Datum,
         K137+AVERAGE(F134:F137)*(1+_WR)*(1-(K137-VLOOKUP('Erkrankungs- und Strukturdaten'!$C$45,$D:$M,$K$1,FALSE))/$B$16),
         K139-$B$23*F139),
IF(D138&gt;_Datum,K137+G138,IF(G139="",K139/(K139^(1/N138)),K139-G139)))),"")</f>
        <v>0</v>
      </c>
      <c r="L138" s="64">
        <f>I138/'Erkrankungs- und Strukturdaten'!$C$7</f>
        <v>56401.818181818177</v>
      </c>
      <c r="M138" s="65">
        <f t="shared" si="20"/>
        <v>7.7426847759460595E-4</v>
      </c>
      <c r="N138" s="163">
        <v>135</v>
      </c>
      <c r="O138" s="208">
        <f t="shared" si="17"/>
        <v>1</v>
      </c>
    </row>
    <row r="139" spans="1:15" x14ac:dyDescent="0.2">
      <c r="A139" s="179"/>
      <c r="B139" s="179"/>
      <c r="D139" s="86">
        <v>43993</v>
      </c>
      <c r="E139" s="64">
        <f t="shared" si="16"/>
        <v>25</v>
      </c>
      <c r="F139" s="101">
        <v>25</v>
      </c>
      <c r="G139" s="140"/>
      <c r="H139" s="64">
        <f>E139/'Erkrankungs- und Strukturdaten'!$C$7</f>
        <v>45.454545454545453</v>
      </c>
      <c r="I139" s="64">
        <f t="shared" si="19"/>
        <v>31046</v>
      </c>
      <c r="J139" s="64">
        <f t="shared" si="18"/>
        <v>0</v>
      </c>
      <c r="K139" s="101">
        <f>IFERROR(IF(D139=_Datum,Prognoseparameter!$C$14,
IF(_WachstumsrateKURZ="Bundesweit",IF(D139&gt;_Datum,
         K138+AVERAGE(F135:F138)*(1+_WR)*(1-(K138-VLOOKUP('Erkrankungs- und Strukturdaten'!$C$45,$D:$M,$K$1,FALSE))/$B$16),
         K140-$B$23*F140),
IF(D139&gt;_Datum,K138+G139,IF(G140="",K140/(K140^(1/N139)),K140-G140)))),"")</f>
        <v>0</v>
      </c>
      <c r="L139" s="64">
        <f>I139/'Erkrankungs- und Strukturdaten'!$C$7</f>
        <v>56447.272727272721</v>
      </c>
      <c r="M139" s="65">
        <f t="shared" si="20"/>
        <v>8.0590567679958739E-4</v>
      </c>
      <c r="N139" s="163">
        <v>136</v>
      </c>
      <c r="O139" s="208">
        <f t="shared" si="17"/>
        <v>1</v>
      </c>
    </row>
    <row r="140" spans="1:15" x14ac:dyDescent="0.2">
      <c r="A140" s="179"/>
      <c r="B140" s="179"/>
      <c r="D140" s="86">
        <v>43994</v>
      </c>
      <c r="E140" s="64">
        <f t="shared" si="16"/>
        <v>34</v>
      </c>
      <c r="F140" s="101">
        <v>34</v>
      </c>
      <c r="G140" s="140"/>
      <c r="H140" s="64">
        <f>E140/'Erkrankungs- und Strukturdaten'!$C$7</f>
        <v>61.818181818181813</v>
      </c>
      <c r="I140" s="64">
        <f t="shared" si="19"/>
        <v>31080</v>
      </c>
      <c r="J140" s="64">
        <f t="shared" si="18"/>
        <v>0</v>
      </c>
      <c r="K140" s="101">
        <f>IFERROR(IF(D140=_Datum,Prognoseparameter!$C$14,
IF(_WachstumsrateKURZ="Bundesweit",IF(D140&gt;_Datum,
         K139+AVERAGE(F136:F139)*(1+_WR)*(1-(K139-VLOOKUP('Erkrankungs- und Strukturdaten'!$C$45,$D:$M,$K$1,FALSE))/$B$16),
         K141-$B$23*F141),
IF(D140&gt;_Datum,K139+G140,IF(G141="",K141/(K141^(1/N140)),K141-G141)))),"")</f>
        <v>0</v>
      </c>
      <c r="L140" s="64">
        <f>I140/'Erkrankungs- und Strukturdaten'!$C$7</f>
        <v>56509.090909090904</v>
      </c>
      <c r="M140" s="65">
        <f t="shared" si="20"/>
        <v>1.0951491335437738E-3</v>
      </c>
      <c r="N140" s="163">
        <v>137</v>
      </c>
      <c r="O140" s="208">
        <f t="shared" si="17"/>
        <v>1</v>
      </c>
    </row>
    <row r="141" spans="1:15" x14ac:dyDescent="0.2">
      <c r="A141" s="179"/>
      <c r="B141" s="179"/>
      <c r="D141" s="86">
        <v>43995</v>
      </c>
      <c r="E141" s="64">
        <f t="shared" si="16"/>
        <v>9</v>
      </c>
      <c r="F141" s="101">
        <v>9</v>
      </c>
      <c r="G141" s="140"/>
      <c r="H141" s="64">
        <f>E141/'Erkrankungs- und Strukturdaten'!$C$7</f>
        <v>16.363636363636363</v>
      </c>
      <c r="I141" s="64">
        <f t="shared" si="19"/>
        <v>31089</v>
      </c>
      <c r="J141" s="64">
        <f t="shared" si="18"/>
        <v>0</v>
      </c>
      <c r="K141" s="101">
        <f>IFERROR(IF(D141=_Datum,Prognoseparameter!$C$14,
IF(_WachstumsrateKURZ="Bundesweit",IF(D141&gt;_Datum,
         K140+AVERAGE(F137:F140)*(1+_WR)*(1-(K140-VLOOKUP('Erkrankungs- und Strukturdaten'!$C$45,$D:$M,$K$1,FALSE))/$B$16),
         K142-$B$23*F142),
IF(D141&gt;_Datum,K140+G141,IF(G142="",K142/(K142^(1/N141)),K142-G142)))),"")</f>
        <v>0</v>
      </c>
      <c r="L141" s="64">
        <f>I141/'Erkrankungs- und Strukturdaten'!$C$7</f>
        <v>56525.454545454544</v>
      </c>
      <c r="M141" s="65">
        <f t="shared" si="20"/>
        <v>2.8957528957528956E-4</v>
      </c>
      <c r="N141" s="163">
        <v>138</v>
      </c>
      <c r="O141" s="208">
        <f t="shared" si="17"/>
        <v>1</v>
      </c>
    </row>
    <row r="142" spans="1:15" x14ac:dyDescent="0.2">
      <c r="A142" s="179"/>
      <c r="B142" s="179"/>
      <c r="D142" s="86">
        <v>43996</v>
      </c>
      <c r="E142" s="64">
        <f t="shared" si="16"/>
        <v>12</v>
      </c>
      <c r="F142" s="101">
        <v>12</v>
      </c>
      <c r="G142" s="140"/>
      <c r="H142" s="64">
        <f>E142/'Erkrankungs- und Strukturdaten'!$C$7</f>
        <v>21.818181818181817</v>
      </c>
      <c r="I142" s="64">
        <f t="shared" si="19"/>
        <v>31101</v>
      </c>
      <c r="J142" s="64">
        <f t="shared" si="18"/>
        <v>0</v>
      </c>
      <c r="K142" s="101">
        <f>IFERROR(IF(D142=_Datum,Prognoseparameter!$C$14,
IF(_WachstumsrateKURZ="Bundesweit",IF(D142&gt;_Datum,
         K141+AVERAGE(F138:F141)*(1+_WR)*(1-(K141-VLOOKUP('Erkrankungs- und Strukturdaten'!$C$45,$D:$M,$K$1,FALSE))/$B$16),
         K143-$B$23*F143),
IF(D142&gt;_Datum,K141+G142,IF(G143="",K143/(K143^(1/N142)),K143-G143)))),"")</f>
        <v>0</v>
      </c>
      <c r="L142" s="64">
        <f>I142/'Erkrankungs- und Strukturdaten'!$C$7</f>
        <v>56547.272727272721</v>
      </c>
      <c r="M142" s="65">
        <f t="shared" si="20"/>
        <v>3.8598861333590662E-4</v>
      </c>
      <c r="N142" s="163">
        <v>139</v>
      </c>
      <c r="O142" s="208">
        <f t="shared" si="17"/>
        <v>1</v>
      </c>
    </row>
    <row r="143" spans="1:15" x14ac:dyDescent="0.2">
      <c r="A143" s="179"/>
      <c r="B143" s="179"/>
      <c r="D143" s="86">
        <v>43997</v>
      </c>
      <c r="E143" s="64">
        <f t="shared" si="16"/>
        <v>32</v>
      </c>
      <c r="F143" s="101">
        <v>32</v>
      </c>
      <c r="G143" s="140"/>
      <c r="H143" s="64">
        <f>E143/'Erkrankungs- und Strukturdaten'!$C$7</f>
        <v>58.18181818181818</v>
      </c>
      <c r="I143" s="64">
        <f t="shared" si="19"/>
        <v>31133</v>
      </c>
      <c r="J143" s="64">
        <f t="shared" si="18"/>
        <v>0</v>
      </c>
      <c r="K143" s="101">
        <f>IFERROR(IF(D143=_Datum,Prognoseparameter!$C$14,
IF(_WachstumsrateKURZ="Bundesweit",IF(D143&gt;_Datum,
         K142+AVERAGE(F139:F142)*(1+_WR)*(1-(K142-VLOOKUP('Erkrankungs- und Strukturdaten'!$C$45,$D:$M,$K$1,FALSE))/$B$16),
         K144-$B$23*F144),
IF(D143&gt;_Datum,K142+G143,IF(G144="",K144/(K144^(1/N143)),K144-G144)))),"")</f>
        <v>0</v>
      </c>
      <c r="L143" s="64">
        <f>I143/'Erkrankungs- und Strukturdaten'!$C$7</f>
        <v>56605.454545454544</v>
      </c>
      <c r="M143" s="65">
        <f t="shared" si="20"/>
        <v>1.0289058229638918E-3</v>
      </c>
      <c r="N143" s="163">
        <v>140</v>
      </c>
      <c r="O143" s="208">
        <f t="shared" si="17"/>
        <v>1</v>
      </c>
    </row>
    <row r="144" spans="1:15" x14ac:dyDescent="0.2">
      <c r="A144" s="179"/>
      <c r="B144" s="179"/>
      <c r="D144" s="86">
        <v>43998</v>
      </c>
      <c r="E144" s="64">
        <f t="shared" si="16"/>
        <v>21</v>
      </c>
      <c r="F144" s="101">
        <v>21</v>
      </c>
      <c r="G144" s="140"/>
      <c r="H144" s="64">
        <f>E144/'Erkrankungs- und Strukturdaten'!$C$7</f>
        <v>38.18181818181818</v>
      </c>
      <c r="I144" s="64">
        <f t="shared" si="19"/>
        <v>31154</v>
      </c>
      <c r="J144" s="64">
        <f t="shared" si="18"/>
        <v>0</v>
      </c>
      <c r="K144" s="101">
        <f>IFERROR(IF(D144=_Datum,Prognoseparameter!$C$14,
IF(_WachstumsrateKURZ="Bundesweit",IF(D144&gt;_Datum,
         K143+AVERAGE(F140:F143)*(1+_WR)*(1-(K143-VLOOKUP('Erkrankungs- und Strukturdaten'!$C$45,$D:$M,$K$1,FALSE))/$B$16),
         K145-$B$23*F145),
IF(D144&gt;_Datum,K143+G144,IF(G145="",K145/(K145^(1/N144)),K145-G145)))),"")</f>
        <v>0</v>
      </c>
      <c r="L144" s="64">
        <f>I144/'Erkrankungs- und Strukturdaten'!$C$7</f>
        <v>56643.63636363636</v>
      </c>
      <c r="M144" s="65">
        <f t="shared" si="20"/>
        <v>6.7452542318440238E-4</v>
      </c>
      <c r="N144" s="163">
        <v>141</v>
      </c>
      <c r="O144" s="208">
        <f t="shared" si="17"/>
        <v>1</v>
      </c>
    </row>
    <row r="145" spans="1:15" x14ac:dyDescent="0.2">
      <c r="A145" s="179"/>
      <c r="B145" s="179"/>
      <c r="D145" s="86">
        <v>43999</v>
      </c>
      <c r="E145" s="64">
        <f t="shared" si="16"/>
        <v>18</v>
      </c>
      <c r="F145" s="101">
        <v>18</v>
      </c>
      <c r="G145" s="140"/>
      <c r="H145" s="64">
        <f>E145/'Erkrankungs- und Strukturdaten'!$C$7</f>
        <v>32.727272727272727</v>
      </c>
      <c r="I145" s="64">
        <f t="shared" si="19"/>
        <v>31172</v>
      </c>
      <c r="J145" s="64">
        <f t="shared" si="18"/>
        <v>0</v>
      </c>
      <c r="K145" s="101">
        <f>IFERROR(IF(D145=_Datum,Prognoseparameter!$C$14,
IF(_WachstumsrateKURZ="Bundesweit",IF(D145&gt;_Datum,
         K144+AVERAGE(F141:F144)*(1+_WR)*(1-(K144-VLOOKUP('Erkrankungs- und Strukturdaten'!$C$45,$D:$M,$K$1,FALSE))/$B$16),
         K146-$B$23*F146),
IF(D145&gt;_Datum,K144+G145,IF(G146="",K146/(K146^(1/N145)),K146-G146)))),"")</f>
        <v>0</v>
      </c>
      <c r="L145" s="64">
        <f>I145/'Erkrankungs- und Strukturdaten'!$C$7</f>
        <v>56676.363636363632</v>
      </c>
      <c r="M145" s="65">
        <f t="shared" si="20"/>
        <v>5.777749245682737E-4</v>
      </c>
      <c r="N145" s="163">
        <v>142</v>
      </c>
      <c r="O145" s="208">
        <f t="shared" si="17"/>
        <v>1</v>
      </c>
    </row>
    <row r="146" spans="1:15" x14ac:dyDescent="0.2">
      <c r="A146" s="179"/>
      <c r="B146" s="179"/>
      <c r="D146" s="86">
        <v>44000</v>
      </c>
      <c r="E146" s="64">
        <f t="shared" si="16"/>
        <v>18</v>
      </c>
      <c r="F146" s="101">
        <v>18</v>
      </c>
      <c r="G146" s="140"/>
      <c r="H146" s="64">
        <f>E146/'Erkrankungs- und Strukturdaten'!$C$7</f>
        <v>32.727272727272727</v>
      </c>
      <c r="I146" s="64">
        <f t="shared" si="19"/>
        <v>31190</v>
      </c>
      <c r="J146" s="64">
        <f t="shared" si="18"/>
        <v>0</v>
      </c>
      <c r="K146" s="101">
        <f>IFERROR(IF(D146=_Datum,Prognoseparameter!$C$14,
IF(_WachstumsrateKURZ="Bundesweit",IF(D146&gt;_Datum,
         K145+AVERAGE(F142:F145)*(1+_WR)*(1-(K145-VLOOKUP('Erkrankungs- und Strukturdaten'!$C$45,$D:$M,$K$1,FALSE))/$B$16),
         K147-$B$23*F147),
IF(D146&gt;_Datum,K145+G146,IF(G147="",K147/(K147^(1/N146)),K147-G147)))),"")</f>
        <v>0</v>
      </c>
      <c r="L146" s="64">
        <f>I146/'Erkrankungs- und Strukturdaten'!$C$7</f>
        <v>56709.090909090904</v>
      </c>
      <c r="M146" s="65">
        <f t="shared" si="20"/>
        <v>5.7744129346849738E-4</v>
      </c>
      <c r="N146" s="163">
        <v>143</v>
      </c>
      <c r="O146" s="208">
        <f t="shared" si="17"/>
        <v>1</v>
      </c>
    </row>
    <row r="147" spans="1:15" x14ac:dyDescent="0.2">
      <c r="A147" s="179"/>
      <c r="B147" s="179"/>
      <c r="D147" s="86">
        <v>44001</v>
      </c>
      <c r="E147" s="64">
        <f t="shared" si="16"/>
        <v>37</v>
      </c>
      <c r="F147" s="101">
        <v>37</v>
      </c>
      <c r="G147" s="140"/>
      <c r="H147" s="64">
        <f>E147/'Erkrankungs- und Strukturdaten'!$C$7</f>
        <v>67.272727272727266</v>
      </c>
      <c r="I147" s="64">
        <f t="shared" si="19"/>
        <v>31227</v>
      </c>
      <c r="J147" s="64">
        <f t="shared" si="18"/>
        <v>0</v>
      </c>
      <c r="K147" s="101">
        <f>IFERROR(IF(D147=_Datum,Prognoseparameter!$C$14,
IF(_WachstumsrateKURZ="Bundesweit",IF(D147&gt;_Datum,
         K146+AVERAGE(F143:F146)*(1+_WR)*(1-(K146-VLOOKUP('Erkrankungs- und Strukturdaten'!$C$45,$D:$M,$K$1,FALSE))/$B$16),
         K148-$B$23*F148),
IF(D147&gt;_Datum,K146+G147,IF(G148="",K148/(K148^(1/N147)),K148-G148)))),"")</f>
        <v>0</v>
      </c>
      <c r="L147" s="64">
        <f>I147/'Erkrankungs- und Strukturdaten'!$C$7</f>
        <v>56776.363636363632</v>
      </c>
      <c r="M147" s="65">
        <f t="shared" si="20"/>
        <v>1.1862776530939404E-3</v>
      </c>
      <c r="N147" s="163">
        <v>144</v>
      </c>
      <c r="O147" s="208">
        <f t="shared" si="17"/>
        <v>1</v>
      </c>
    </row>
    <row r="148" spans="1:15" x14ac:dyDescent="0.2">
      <c r="A148" s="179"/>
      <c r="B148" s="179"/>
      <c r="D148" s="86">
        <v>44002</v>
      </c>
      <c r="E148" s="64">
        <f t="shared" si="16"/>
        <v>32</v>
      </c>
      <c r="F148" s="101">
        <v>32</v>
      </c>
      <c r="G148" s="140"/>
      <c r="H148" s="64">
        <f>E148/'Erkrankungs- und Strukturdaten'!$C$7</f>
        <v>58.18181818181818</v>
      </c>
      <c r="I148" s="64">
        <f t="shared" si="19"/>
        <v>31259</v>
      </c>
      <c r="J148" s="64">
        <f t="shared" si="18"/>
        <v>0</v>
      </c>
      <c r="K148" s="101">
        <f>IFERROR(IF(D148=_Datum,Prognoseparameter!$C$14,
IF(_WachstumsrateKURZ="Bundesweit",IF(D148&gt;_Datum,
         K147+AVERAGE(F144:F147)*(1+_WR)*(1-(K147-VLOOKUP('Erkrankungs- und Strukturdaten'!$C$45,$D:$M,$K$1,FALSE))/$B$16),
         K149-$B$23*F149),
IF(D148&gt;_Datum,K147+G148,IF(G149="",K149/(K149^(1/N148)),K149-G149)))),"")</f>
        <v>0</v>
      </c>
      <c r="L148" s="64">
        <f>I148/'Erkrankungs- und Strukturdaten'!$C$7</f>
        <v>56834.545454545449</v>
      </c>
      <c r="M148" s="65">
        <f t="shared" si="20"/>
        <v>1.0247542191052614E-3</v>
      </c>
      <c r="N148" s="163">
        <v>145</v>
      </c>
      <c r="O148" s="208">
        <f t="shared" si="17"/>
        <v>1</v>
      </c>
    </row>
    <row r="149" spans="1:15" x14ac:dyDescent="0.2">
      <c r="A149" s="179"/>
      <c r="B149" s="179"/>
      <c r="D149" s="86">
        <v>44003</v>
      </c>
      <c r="E149" s="64">
        <f t="shared" si="16"/>
        <v>13</v>
      </c>
      <c r="F149" s="101">
        <v>13</v>
      </c>
      <c r="G149" s="140"/>
      <c r="H149" s="64">
        <f>E149/'Erkrankungs- und Strukturdaten'!$C$7</f>
        <v>23.636363636363633</v>
      </c>
      <c r="I149" s="64">
        <f t="shared" si="19"/>
        <v>31272</v>
      </c>
      <c r="J149" s="64">
        <f t="shared" si="18"/>
        <v>0</v>
      </c>
      <c r="K149" s="101">
        <f>IFERROR(IF(D149=_Datum,Prognoseparameter!$C$14,
IF(_WachstumsrateKURZ="Bundesweit",IF(D149&gt;_Datum,
         K148+AVERAGE(F145:F148)*(1+_WR)*(1-(K148-VLOOKUP('Erkrankungs- und Strukturdaten'!$C$45,$D:$M,$K$1,FALSE))/$B$16),
         K150-$B$23*F150),
IF(D149&gt;_Datum,K148+G149,IF(G150="",K150/(K150^(1/N149)),K150-G150)))),"")</f>
        <v>0</v>
      </c>
      <c r="L149" s="64">
        <f>I149/'Erkrankungs- und Strukturdaten'!$C$7</f>
        <v>56858.181818181816</v>
      </c>
      <c r="M149" s="65">
        <f t="shared" si="20"/>
        <v>4.1588022649476948E-4</v>
      </c>
      <c r="N149" s="163">
        <v>146</v>
      </c>
      <c r="O149" s="208">
        <f t="shared" si="17"/>
        <v>1</v>
      </c>
    </row>
    <row r="150" spans="1:15" x14ac:dyDescent="0.2">
      <c r="A150" s="179"/>
      <c r="B150" s="179"/>
      <c r="D150" s="86">
        <v>44004</v>
      </c>
      <c r="E150" s="64">
        <f t="shared" si="16"/>
        <v>56</v>
      </c>
      <c r="F150" s="101">
        <v>56</v>
      </c>
      <c r="G150" s="140"/>
      <c r="H150" s="64">
        <f>E150/'Erkrankungs- und Strukturdaten'!$C$7</f>
        <v>101.81818181818181</v>
      </c>
      <c r="I150" s="64">
        <f t="shared" si="19"/>
        <v>31328</v>
      </c>
      <c r="J150" s="64">
        <f t="shared" si="18"/>
        <v>0</v>
      </c>
      <c r="K150" s="101">
        <f>IFERROR(IF(D150=_Datum,Prognoseparameter!$C$14,
IF(_WachstumsrateKURZ="Bundesweit",IF(D150&gt;_Datum,
         K149+AVERAGE(F146:F149)*(1+_WR)*(1-(K149-VLOOKUP('Erkrankungs- und Strukturdaten'!$C$45,$D:$M,$K$1,FALSE))/$B$16),
         K151-$B$23*F151),
IF(D150&gt;_Datum,K149+G150,IF(G151="",K151/(K151^(1/N150)),K151-G151)))),"")</f>
        <v>0</v>
      </c>
      <c r="L150" s="64">
        <f>I150/'Erkrankungs- und Strukturdaten'!$C$7</f>
        <v>56959.999999999993</v>
      </c>
      <c r="M150" s="65">
        <f t="shared" si="20"/>
        <v>1.7907393195190585E-3</v>
      </c>
      <c r="N150" s="163">
        <v>147</v>
      </c>
      <c r="O150" s="208">
        <f t="shared" si="17"/>
        <v>1</v>
      </c>
    </row>
    <row r="151" spans="1:15" x14ac:dyDescent="0.2">
      <c r="A151" s="179"/>
      <c r="B151" s="179"/>
      <c r="D151" s="86">
        <v>44005</v>
      </c>
      <c r="E151" s="64">
        <f t="shared" si="16"/>
        <v>37</v>
      </c>
      <c r="F151" s="101">
        <v>37</v>
      </c>
      <c r="G151" s="140"/>
      <c r="H151" s="64">
        <f>E151/'Erkrankungs- und Strukturdaten'!$C$7</f>
        <v>67.272727272727266</v>
      </c>
      <c r="I151" s="64">
        <f t="shared" si="19"/>
        <v>31365</v>
      </c>
      <c r="J151" s="64">
        <f t="shared" si="18"/>
        <v>0</v>
      </c>
      <c r="K151" s="101">
        <f>IFERROR(IF(D151=_Datum,Prognoseparameter!$C$14,
IF(_WachstumsrateKURZ="Bundesweit",IF(D151&gt;_Datum,
         K150+AVERAGE(F147:F150)*(1+_WR)*(1-(K150-VLOOKUP('Erkrankungs- und Strukturdaten'!$C$45,$D:$M,$K$1,FALSE))/$B$16),
         K152-$B$23*F152),
IF(D151&gt;_Datum,K150+G151,IF(G152="",K152/(K152^(1/N151)),K152-G152)))),"")</f>
        <v>0</v>
      </c>
      <c r="L151" s="64">
        <f>I151/'Erkrankungs- und Strukturdaten'!$C$7</f>
        <v>57027.272727272721</v>
      </c>
      <c r="M151" s="65">
        <f t="shared" si="20"/>
        <v>1.1810520939734422E-3</v>
      </c>
      <c r="N151" s="163">
        <v>148</v>
      </c>
      <c r="O151" s="208">
        <f t="shared" si="17"/>
        <v>1</v>
      </c>
    </row>
    <row r="152" spans="1:15" x14ac:dyDescent="0.2">
      <c r="A152" s="179"/>
      <c r="B152" s="179"/>
      <c r="D152" s="86">
        <v>44006</v>
      </c>
      <c r="E152" s="64">
        <f t="shared" si="16"/>
        <v>64</v>
      </c>
      <c r="F152" s="101">
        <v>64</v>
      </c>
      <c r="G152" s="140"/>
      <c r="H152" s="64">
        <f>E152/'Erkrankungs- und Strukturdaten'!$C$7</f>
        <v>116.36363636363636</v>
      </c>
      <c r="I152" s="64">
        <f t="shared" si="19"/>
        <v>31429</v>
      </c>
      <c r="J152" s="64">
        <f t="shared" si="18"/>
        <v>0</v>
      </c>
      <c r="K152" s="101">
        <f>IFERROR(IF(D152=_Datum,Prognoseparameter!$C$14,
IF(_WachstumsrateKURZ="Bundesweit",IF(D152&gt;_Datum,
         K151+AVERAGE(F148:F151)*(1+_WR)*(1-(K151-VLOOKUP('Erkrankungs- und Strukturdaten'!$C$45,$D:$M,$K$1,FALSE))/$B$16),
         K153-$B$23*F153),
IF(D152&gt;_Datum,K151+G152,IF(G153="",K153/(K153^(1/N152)),K153-G153)))),"")</f>
        <v>0</v>
      </c>
      <c r="L152" s="64">
        <f>I152/'Erkrankungs- und Strukturdaten'!$C$7</f>
        <v>57143.63636363636</v>
      </c>
      <c r="M152" s="65">
        <f t="shared" si="20"/>
        <v>2.0404909931452256E-3</v>
      </c>
      <c r="N152" s="163">
        <v>149</v>
      </c>
      <c r="O152" s="208">
        <f t="shared" si="17"/>
        <v>1</v>
      </c>
    </row>
    <row r="153" spans="1:15" x14ac:dyDescent="0.2">
      <c r="A153" s="179"/>
      <c r="B153" s="179"/>
      <c r="D153" s="86">
        <v>44007</v>
      </c>
      <c r="E153" s="64">
        <f t="shared" si="16"/>
        <v>48</v>
      </c>
      <c r="F153" s="101">
        <v>48</v>
      </c>
      <c r="G153" s="140"/>
      <c r="H153" s="64">
        <f>E153/'Erkrankungs- und Strukturdaten'!$C$7</f>
        <v>87.272727272727266</v>
      </c>
      <c r="I153" s="64">
        <f t="shared" si="19"/>
        <v>31477</v>
      </c>
      <c r="J153" s="64">
        <f t="shared" si="18"/>
        <v>0</v>
      </c>
      <c r="K153" s="101">
        <f>IFERROR(IF(D153=_Datum,Prognoseparameter!$C$14,
IF(_WachstumsrateKURZ="Bundesweit",IF(D153&gt;_Datum,
         K152+AVERAGE(F149:F152)*(1+_WR)*(1-(K152-VLOOKUP('Erkrankungs- und Strukturdaten'!$C$45,$D:$M,$K$1,FALSE))/$B$16),
         K154-$B$23*F154),
IF(D153&gt;_Datum,K152+G153,IF(G154="",K154/(K154^(1/N153)),K154-G154)))),"")</f>
        <v>0</v>
      </c>
      <c r="L153" s="64">
        <f>I153/'Erkrankungs- und Strukturdaten'!$C$7</f>
        <v>57230.909090909088</v>
      </c>
      <c r="M153" s="65">
        <f t="shared" si="20"/>
        <v>1.5272519011104394E-3</v>
      </c>
      <c r="N153" s="163">
        <v>150</v>
      </c>
      <c r="O153" s="208">
        <f t="shared" si="17"/>
        <v>1</v>
      </c>
    </row>
    <row r="154" spans="1:15" x14ac:dyDescent="0.2">
      <c r="A154" s="179"/>
      <c r="B154" s="179"/>
      <c r="D154" s="86">
        <v>44008</v>
      </c>
      <c r="E154" s="64">
        <f t="shared" si="16"/>
        <v>92</v>
      </c>
      <c r="F154" s="101">
        <v>92</v>
      </c>
      <c r="G154" s="140"/>
      <c r="H154" s="64">
        <f>E154/'Erkrankungs- und Strukturdaten'!$C$7</f>
        <v>167.27272727272725</v>
      </c>
      <c r="I154" s="64">
        <f t="shared" si="19"/>
        <v>31569</v>
      </c>
      <c r="J154" s="64">
        <f t="shared" si="18"/>
        <v>0</v>
      </c>
      <c r="K154" s="101">
        <f>IFERROR(IF(D154=_Datum,Prognoseparameter!$C$14,
IF(_WachstumsrateKURZ="Bundesweit",IF(D154&gt;_Datum,
         K153+AVERAGE(F150:F153)*(1+_WR)*(1-(K153-VLOOKUP('Erkrankungs- und Strukturdaten'!$C$45,$D:$M,$K$1,FALSE))/$B$16),
         K155-$B$23*F155),
IF(D154&gt;_Datum,K153+G154,IF(G155="",K155/(K155^(1/N154)),K155-G155)))),"")</f>
        <v>0</v>
      </c>
      <c r="L154" s="64">
        <f>I154/'Erkrankungs- und Strukturdaten'!$C$7</f>
        <v>57398.181818181816</v>
      </c>
      <c r="M154" s="65">
        <f t="shared" si="20"/>
        <v>2.9227690059408459E-3</v>
      </c>
      <c r="N154" s="163">
        <v>151</v>
      </c>
      <c r="O154" s="208">
        <f t="shared" si="17"/>
        <v>1</v>
      </c>
    </row>
    <row r="155" spans="1:15" x14ac:dyDescent="0.2">
      <c r="A155" s="179"/>
      <c r="B155" s="179"/>
      <c r="D155" s="86">
        <v>44009</v>
      </c>
      <c r="E155" s="64">
        <f t="shared" si="16"/>
        <v>36</v>
      </c>
      <c r="F155" s="101">
        <v>36</v>
      </c>
      <c r="G155" s="140"/>
      <c r="H155" s="64">
        <f>E155/'Erkrankungs- und Strukturdaten'!$C$7</f>
        <v>65.454545454545453</v>
      </c>
      <c r="I155" s="64">
        <f t="shared" si="19"/>
        <v>31605</v>
      </c>
      <c r="J155" s="64">
        <f t="shared" si="18"/>
        <v>0</v>
      </c>
      <c r="K155" s="101">
        <f>IFERROR(IF(D155=_Datum,Prognoseparameter!$C$14,
IF(_WachstumsrateKURZ="Bundesweit",IF(D155&gt;_Datum,
         K154+AVERAGE(F151:F154)*(1+_WR)*(1-(K154-VLOOKUP('Erkrankungs- und Strukturdaten'!$C$45,$D:$M,$K$1,FALSE))/$B$16),
         K156-$B$23*F156),
IF(D155&gt;_Datum,K154+G155,IF(G156="",K156/(K156^(1/N155)),K156-G156)))),"")</f>
        <v>0</v>
      </c>
      <c r="L155" s="64">
        <f>I155/'Erkrankungs- und Strukturdaten'!$C$7</f>
        <v>57463.63636363636</v>
      </c>
      <c r="M155" s="65">
        <f t="shared" si="20"/>
        <v>1.1403592131521429E-3</v>
      </c>
      <c r="N155" s="163">
        <v>152</v>
      </c>
      <c r="O155" s="208">
        <f t="shared" si="17"/>
        <v>1</v>
      </c>
    </row>
    <row r="156" spans="1:15" x14ac:dyDescent="0.2">
      <c r="A156" s="179"/>
      <c r="B156" s="179"/>
      <c r="D156" s="86">
        <v>44010</v>
      </c>
      <c r="E156" s="64">
        <f t="shared" si="16"/>
        <v>24</v>
      </c>
      <c r="F156" s="101">
        <v>24</v>
      </c>
      <c r="G156" s="140"/>
      <c r="H156" s="64">
        <f>E156/'Erkrankungs- und Strukturdaten'!$C$7</f>
        <v>43.636363636363633</v>
      </c>
      <c r="I156" s="64">
        <f t="shared" si="19"/>
        <v>31629</v>
      </c>
      <c r="J156" s="64">
        <f t="shared" si="18"/>
        <v>0</v>
      </c>
      <c r="K156" s="101">
        <f>IFERROR(IF(D156=_Datum,Prognoseparameter!$C$14,
IF(_WachstumsrateKURZ="Bundesweit",IF(D156&gt;_Datum,
         K155+AVERAGE(F152:F155)*(1+_WR)*(1-(K155-VLOOKUP('Erkrankungs- und Strukturdaten'!$C$45,$D:$M,$K$1,FALSE))/$B$16),
         K157-$B$23*F157),
IF(D156&gt;_Datum,K155+G156,IF(G157="",K157/(K157^(1/N156)),K157-G157)))),"")</f>
        <v>0</v>
      </c>
      <c r="L156" s="64">
        <f>I156/'Erkrankungs- und Strukturdaten'!$C$7</f>
        <v>57507.272727272721</v>
      </c>
      <c r="M156" s="65">
        <f t="shared" si="20"/>
        <v>7.5937351684859987E-4</v>
      </c>
      <c r="N156" s="163">
        <v>153</v>
      </c>
      <c r="O156" s="208">
        <f t="shared" si="17"/>
        <v>1</v>
      </c>
    </row>
    <row r="157" spans="1:15" x14ac:dyDescent="0.2">
      <c r="A157" s="179"/>
      <c r="B157" s="179"/>
      <c r="D157" s="86">
        <v>44011</v>
      </c>
      <c r="E157" s="64">
        <f t="shared" si="16"/>
        <v>160</v>
      </c>
      <c r="F157" s="101">
        <v>160</v>
      </c>
      <c r="G157" s="140"/>
      <c r="H157" s="64">
        <f>E157/'Erkrankungs- und Strukturdaten'!$C$7</f>
        <v>290.90909090909088</v>
      </c>
      <c r="I157" s="64">
        <f t="shared" si="19"/>
        <v>31789</v>
      </c>
      <c r="J157" s="64">
        <f t="shared" si="18"/>
        <v>0</v>
      </c>
      <c r="K157" s="101">
        <f>IFERROR(IF(D157=_Datum,Prognoseparameter!$C$14,
IF(_WachstumsrateKURZ="Bundesweit",IF(D157&gt;_Datum,
         K156+AVERAGE(F153:F156)*(1+_WR)*(1-(K156-VLOOKUP('Erkrankungs- und Strukturdaten'!$C$45,$D:$M,$K$1,FALSE))/$B$16),
         K158-$B$23*F158),
IF(D157&gt;_Datum,K156+G157,IF(G158="",K158/(K158^(1/N157)),K158-G158)))),"")</f>
        <v>0</v>
      </c>
      <c r="L157" s="64">
        <f>I157/'Erkrankungs- und Strukturdaten'!$C$7</f>
        <v>57798.181818181816</v>
      </c>
      <c r="M157" s="65">
        <f t="shared" si="20"/>
        <v>5.0586487084637519E-3</v>
      </c>
      <c r="N157" s="163">
        <v>154</v>
      </c>
      <c r="O157" s="208">
        <f t="shared" si="17"/>
        <v>1</v>
      </c>
    </row>
    <row r="158" spans="1:15" x14ac:dyDescent="0.2">
      <c r="A158" s="179"/>
      <c r="B158" s="179"/>
      <c r="D158" s="86">
        <v>44012</v>
      </c>
      <c r="E158" s="64">
        <f t="shared" si="16"/>
        <v>138</v>
      </c>
      <c r="F158" s="101">
        <v>138</v>
      </c>
      <c r="G158" s="140"/>
      <c r="H158" s="64">
        <f>E158/'Erkrankungs- und Strukturdaten'!$C$7</f>
        <v>250.90909090909088</v>
      </c>
      <c r="I158" s="64">
        <f t="shared" si="19"/>
        <v>31927</v>
      </c>
      <c r="J158" s="64">
        <f t="shared" si="18"/>
        <v>0</v>
      </c>
      <c r="K158" s="101">
        <f>IFERROR(IF(D158=_Datum,Prognoseparameter!$C$14,
IF(_WachstumsrateKURZ="Bundesweit",IF(D158&gt;_Datum,
         K157+AVERAGE(F154:F157)*(1+_WR)*(1-(K157-VLOOKUP('Erkrankungs- und Strukturdaten'!$C$45,$D:$M,$K$1,FALSE))/$B$16),
         K159-$B$23*F159),
IF(D158&gt;_Datum,K157+G158,IF(G159="",K159/(K159^(1/N158)),K159-G159)))),"")</f>
        <v>0</v>
      </c>
      <c r="L158" s="64">
        <f>I158/'Erkrankungs- und Strukturdaten'!$C$7</f>
        <v>58049.090909090904</v>
      </c>
      <c r="M158" s="65">
        <f t="shared" si="20"/>
        <v>4.341124288275819E-3</v>
      </c>
      <c r="N158" s="163">
        <v>155</v>
      </c>
      <c r="O158" s="208">
        <f t="shared" si="17"/>
        <v>1</v>
      </c>
    </row>
    <row r="159" spans="1:15" x14ac:dyDescent="0.2">
      <c r="A159" s="179"/>
      <c r="B159" s="179"/>
      <c r="D159" s="86">
        <v>44013</v>
      </c>
      <c r="E159" s="64">
        <f t="shared" si="16"/>
        <v>101</v>
      </c>
      <c r="F159" s="101">
        <v>101</v>
      </c>
      <c r="G159" s="140"/>
      <c r="H159" s="64">
        <f>E159/'Erkrankungs- und Strukturdaten'!$C$7</f>
        <v>183.63636363636363</v>
      </c>
      <c r="I159" s="64">
        <f t="shared" si="19"/>
        <v>32028</v>
      </c>
      <c r="J159" s="64">
        <f t="shared" si="18"/>
        <v>0</v>
      </c>
      <c r="K159" s="101">
        <f>IFERROR(IF(D159=_Datum,Prognoseparameter!$C$14,
IF(_WachstumsrateKURZ="Bundesweit",IF(D159&gt;_Datum,
         K158+AVERAGE(F155:F158)*(1+_WR)*(1-(K158-VLOOKUP('Erkrankungs- und Strukturdaten'!$C$45,$D:$M,$K$1,FALSE))/$B$16),
         K160-$B$23*F160),
IF(D159&gt;_Datum,K158+G159,IF(G160="",K160/(K160^(1/N159)),K160-G160)))),"")</f>
        <v>0</v>
      </c>
      <c r="L159" s="64">
        <f>I159/'Erkrankungs- und Strukturdaten'!$C$7</f>
        <v>58232.727272727265</v>
      </c>
      <c r="M159" s="65">
        <f t="shared" si="20"/>
        <v>3.1634666583142796E-3</v>
      </c>
      <c r="N159" s="163">
        <v>156</v>
      </c>
      <c r="O159" s="208">
        <f t="shared" si="17"/>
        <v>1</v>
      </c>
    </row>
    <row r="160" spans="1:15" x14ac:dyDescent="0.2">
      <c r="A160" s="179"/>
      <c r="B160" s="179"/>
      <c r="D160" s="86">
        <v>44014</v>
      </c>
      <c r="E160" s="64">
        <f t="shared" si="16"/>
        <v>127</v>
      </c>
      <c r="F160" s="101">
        <v>127</v>
      </c>
      <c r="G160" s="140"/>
      <c r="H160" s="64">
        <f>E160/'Erkrankungs- und Strukturdaten'!$C$7</f>
        <v>230.90909090909088</v>
      </c>
      <c r="I160" s="64">
        <f t="shared" si="19"/>
        <v>32155</v>
      </c>
      <c r="J160" s="64">
        <f t="shared" si="18"/>
        <v>0</v>
      </c>
      <c r="K160" s="101">
        <f>IFERROR(IF(D160=_Datum,Prognoseparameter!$C$14,
IF(_WachstumsrateKURZ="Bundesweit",IF(D160&gt;_Datum,
         K159+AVERAGE(F156:F159)*(1+_WR)*(1-(K159-VLOOKUP('Erkrankungs- und Strukturdaten'!$C$45,$D:$M,$K$1,FALSE))/$B$16),
         K161-$B$23*F161),
IF(D160&gt;_Datum,K159+G160,IF(G161="",K161/(K161^(1/N160)),K161-G161)))),"")</f>
        <v>0</v>
      </c>
      <c r="L160" s="64">
        <f>I160/'Erkrankungs- und Strukturdaten'!$C$7</f>
        <v>58463.63636363636</v>
      </c>
      <c r="M160" s="65">
        <f t="shared" si="20"/>
        <v>3.965280379667791E-3</v>
      </c>
      <c r="N160" s="163">
        <v>157</v>
      </c>
      <c r="O160" s="208">
        <f t="shared" si="17"/>
        <v>1</v>
      </c>
    </row>
    <row r="161" spans="1:15" x14ac:dyDescent="0.2">
      <c r="A161" s="179"/>
      <c r="B161" s="179"/>
      <c r="D161" s="86">
        <v>44015</v>
      </c>
      <c r="E161" s="64">
        <f t="shared" si="16"/>
        <v>96</v>
      </c>
      <c r="F161" s="101">
        <v>96</v>
      </c>
      <c r="G161" s="140"/>
      <c r="H161" s="64">
        <f>E161/'Erkrankungs- und Strukturdaten'!$C$7</f>
        <v>174.54545454545453</v>
      </c>
      <c r="I161" s="64">
        <f t="shared" si="19"/>
        <v>32251</v>
      </c>
      <c r="J161" s="64">
        <f t="shared" si="18"/>
        <v>0</v>
      </c>
      <c r="K161" s="101">
        <f>IFERROR(IF(D161=_Datum,Prognoseparameter!$C$14,
IF(_WachstumsrateKURZ="Bundesweit",IF(D161&gt;_Datum,
         K160+AVERAGE(F157:F160)*(1+_WR)*(1-(K160-VLOOKUP('Erkrankungs- und Strukturdaten'!$C$45,$D:$M,$K$1,FALSE))/$B$16),
         K162-$B$23*F162),
IF(D161&gt;_Datum,K160+G161,IF(G162="",K162/(K162^(1/N161)),K162-G162)))),"")</f>
        <v>0</v>
      </c>
      <c r="L161" s="64">
        <f>I161/'Erkrankungs- und Strukturdaten'!$C$7</f>
        <v>58638.181818181816</v>
      </c>
      <c r="M161" s="65">
        <f t="shared" si="20"/>
        <v>2.9855387964546729E-3</v>
      </c>
      <c r="N161" s="163">
        <v>158</v>
      </c>
      <c r="O161" s="208">
        <f t="shared" si="17"/>
        <v>1</v>
      </c>
    </row>
    <row r="162" spans="1:15" x14ac:dyDescent="0.2">
      <c r="A162" s="179"/>
      <c r="B162" s="179"/>
      <c r="D162" s="86">
        <v>44016</v>
      </c>
      <c r="E162" s="64">
        <f t="shared" si="16"/>
        <v>26</v>
      </c>
      <c r="F162" s="101">
        <v>26</v>
      </c>
      <c r="G162" s="140"/>
      <c r="H162" s="64">
        <f>E162/'Erkrankungs- und Strukturdaten'!$C$7</f>
        <v>47.272727272727266</v>
      </c>
      <c r="I162" s="64">
        <f t="shared" si="19"/>
        <v>32277</v>
      </c>
      <c r="J162" s="64">
        <f t="shared" si="18"/>
        <v>0</v>
      </c>
      <c r="K162" s="101">
        <f>IFERROR(IF(D162=_Datum,Prognoseparameter!$C$14,
IF(_WachstumsrateKURZ="Bundesweit",IF(D162&gt;_Datum,
         K161+AVERAGE(F158:F161)*(1+_WR)*(1-(K161-VLOOKUP('Erkrankungs- und Strukturdaten'!$C$45,$D:$M,$K$1,FALSE))/$B$16),
         K163-$B$23*F163),
IF(D162&gt;_Datum,K161+G162,IF(G163="",K163/(K163^(1/N162)),K163-G163)))),"")</f>
        <v>0</v>
      </c>
      <c r="L162" s="64">
        <f>I162/'Erkrankungs- und Strukturdaten'!$C$7</f>
        <v>58685.454545454544</v>
      </c>
      <c r="M162" s="65">
        <f t="shared" si="20"/>
        <v>8.0617655266503367E-4</v>
      </c>
      <c r="N162" s="163">
        <v>159</v>
      </c>
      <c r="O162" s="208">
        <f t="shared" si="17"/>
        <v>1</v>
      </c>
    </row>
    <row r="163" spans="1:15" x14ac:dyDescent="0.2">
      <c r="A163" s="179"/>
      <c r="B163" s="179"/>
      <c r="D163" s="86">
        <v>44017</v>
      </c>
      <c r="E163" s="64">
        <f t="shared" si="16"/>
        <v>36</v>
      </c>
      <c r="F163" s="101">
        <v>36</v>
      </c>
      <c r="G163" s="140"/>
      <c r="H163" s="64">
        <f>E163/'Erkrankungs- und Strukturdaten'!$C$7</f>
        <v>65.454545454545453</v>
      </c>
      <c r="I163" s="64">
        <f t="shared" si="19"/>
        <v>32313</v>
      </c>
      <c r="J163" s="64">
        <f t="shared" si="18"/>
        <v>0</v>
      </c>
      <c r="K163" s="101">
        <f>IFERROR(IF(D163=_Datum,Prognoseparameter!$C$14,
IF(_WachstumsrateKURZ="Bundesweit",IF(D163&gt;_Datum,
         K162+AVERAGE(F159:F162)*(1+_WR)*(1-(K162-VLOOKUP('Erkrankungs- und Strukturdaten'!$C$45,$D:$M,$K$1,FALSE))/$B$16),
         K164-$B$23*F164),
IF(D163&gt;_Datum,K162+G163,IF(G164="",K164/(K164^(1/N163)),K164-G164)))),"")</f>
        <v>0</v>
      </c>
      <c r="L163" s="64">
        <f>I163/'Erkrankungs- und Strukturdaten'!$C$7</f>
        <v>58750.909090909088</v>
      </c>
      <c r="M163" s="65">
        <f t="shared" si="20"/>
        <v>1.115345292313412E-3</v>
      </c>
      <c r="N163" s="163">
        <v>160</v>
      </c>
      <c r="O163" s="208">
        <f t="shared" si="17"/>
        <v>1</v>
      </c>
    </row>
    <row r="164" spans="1:15" x14ac:dyDescent="0.2">
      <c r="A164" s="179"/>
      <c r="B164" s="179"/>
      <c r="D164" s="86">
        <v>44018</v>
      </c>
      <c r="E164" s="64">
        <f t="shared" si="16"/>
        <v>106</v>
      </c>
      <c r="F164" s="101">
        <v>106</v>
      </c>
      <c r="G164" s="140"/>
      <c r="H164" s="64">
        <f>E164/'Erkrankungs- und Strukturdaten'!$C$7</f>
        <v>192.72727272727272</v>
      </c>
      <c r="I164" s="64">
        <f t="shared" si="19"/>
        <v>32419</v>
      </c>
      <c r="J164" s="64">
        <f t="shared" si="18"/>
        <v>0</v>
      </c>
      <c r="K164" s="101">
        <f>IFERROR(IF(D164=_Datum,Prognoseparameter!$C$14,
IF(_WachstumsrateKURZ="Bundesweit",IF(D164&gt;_Datum,
         K163+AVERAGE(F160:F163)*(1+_WR)*(1-(K163-VLOOKUP('Erkrankungs- und Strukturdaten'!$C$45,$D:$M,$K$1,FALSE))/$B$16),
         K165-$B$23*F165),
IF(D164&gt;_Datum,K163+G164,IF(G165="",K165/(K165^(1/N164)),K165-G165)))),"")</f>
        <v>0</v>
      </c>
      <c r="L164" s="64">
        <f>I164/'Erkrankungs- und Strukturdaten'!$C$7</f>
        <v>58943.63636363636</v>
      </c>
      <c r="M164" s="65">
        <f t="shared" si="20"/>
        <v>3.2804134558846285E-3</v>
      </c>
      <c r="N164" s="163">
        <v>161</v>
      </c>
      <c r="O164" s="208">
        <f t="shared" si="17"/>
        <v>1</v>
      </c>
    </row>
    <row r="165" spans="1:15" x14ac:dyDescent="0.2">
      <c r="A165" s="179"/>
      <c r="B165" s="179"/>
      <c r="D165" s="86">
        <v>44019</v>
      </c>
      <c r="E165" s="64">
        <f t="shared" si="16"/>
        <v>107</v>
      </c>
      <c r="F165" s="101">
        <v>107</v>
      </c>
      <c r="G165" s="140"/>
      <c r="H165" s="64">
        <f>E165/'Erkrankungs- und Strukturdaten'!$C$7</f>
        <v>194.54545454545453</v>
      </c>
      <c r="I165" s="64">
        <f t="shared" si="19"/>
        <v>32526</v>
      </c>
      <c r="J165" s="64">
        <f t="shared" si="18"/>
        <v>0</v>
      </c>
      <c r="K165" s="101">
        <f>IFERROR(IF(D165=_Datum,Prognoseparameter!$C$14,
IF(_WachstumsrateKURZ="Bundesweit",IF(D165&gt;_Datum,
         K164+AVERAGE(F161:F164)*(1+_WR)*(1-(K164-VLOOKUP('Erkrankungs- und Strukturdaten'!$C$45,$D:$M,$K$1,FALSE))/$B$16),
         K166-$B$23*F166),
IF(D165&gt;_Datum,K164+G165,IF(G166="",K166/(K166^(1/N165)),K166-G166)))),"")</f>
        <v>0</v>
      </c>
      <c r="L165" s="64">
        <f>I165/'Erkrankungs- und Strukturdaten'!$C$7</f>
        <v>59138.181818181816</v>
      </c>
      <c r="M165" s="65">
        <f t="shared" si="20"/>
        <v>3.3005336376816063E-3</v>
      </c>
      <c r="N165" s="163">
        <v>162</v>
      </c>
      <c r="O165" s="208">
        <f t="shared" si="17"/>
        <v>1</v>
      </c>
    </row>
    <row r="166" spans="1:15" x14ac:dyDescent="0.2">
      <c r="A166" s="179"/>
      <c r="B166" s="179"/>
      <c r="D166" s="86">
        <v>44020</v>
      </c>
      <c r="E166" s="64">
        <f t="shared" si="16"/>
        <v>97</v>
      </c>
      <c r="F166" s="101">
        <v>97</v>
      </c>
      <c r="G166" s="140"/>
      <c r="H166" s="64">
        <f>E166/'Erkrankungs- und Strukturdaten'!$C$7</f>
        <v>176.36363636363635</v>
      </c>
      <c r="I166" s="64">
        <f t="shared" si="19"/>
        <v>32623</v>
      </c>
      <c r="J166" s="64">
        <f t="shared" si="18"/>
        <v>0</v>
      </c>
      <c r="K166" s="101">
        <f>IFERROR(IF(D166=_Datum,Prognoseparameter!$C$14,
IF(_WachstumsrateKURZ="Bundesweit",IF(D166&gt;_Datum,
         K165+AVERAGE(F162:F165)*(1+_WR)*(1-(K165-VLOOKUP('Erkrankungs- und Strukturdaten'!$C$45,$D:$M,$K$1,FALSE))/$B$16),
         K167-$B$23*F167),
IF(D166&gt;_Datum,K165+G166,IF(G167="",K167/(K167^(1/N166)),K167-G167)))),"")</f>
        <v>0</v>
      </c>
      <c r="L166" s="64">
        <f>I166/'Erkrankungs- und Strukturdaten'!$C$7</f>
        <v>59314.545454545449</v>
      </c>
      <c r="M166" s="65">
        <f t="shared" si="20"/>
        <v>2.982229600934637E-3</v>
      </c>
      <c r="N166" s="163">
        <v>163</v>
      </c>
      <c r="O166" s="208">
        <f t="shared" si="17"/>
        <v>1</v>
      </c>
    </row>
    <row r="167" spans="1:15" x14ac:dyDescent="0.2">
      <c r="A167" s="179"/>
      <c r="B167" s="179"/>
      <c r="D167" s="86">
        <v>44021</v>
      </c>
      <c r="E167" s="64">
        <f t="shared" si="16"/>
        <v>97</v>
      </c>
      <c r="F167" s="101">
        <v>97</v>
      </c>
      <c r="G167" s="140"/>
      <c r="H167" s="64">
        <f>E167/'Erkrankungs- und Strukturdaten'!$C$7</f>
        <v>176.36363636363635</v>
      </c>
      <c r="I167" s="64">
        <f t="shared" si="19"/>
        <v>32720</v>
      </c>
      <c r="J167" s="64">
        <f t="shared" si="18"/>
        <v>0</v>
      </c>
      <c r="K167" s="101">
        <f>IFERROR(IF(D167=_Datum,Prognoseparameter!$C$14,
IF(_WachstumsrateKURZ="Bundesweit",IF(D167&gt;_Datum,
         K166+AVERAGE(F163:F166)*(1+_WR)*(1-(K166-VLOOKUP('Erkrankungs- und Strukturdaten'!$C$45,$D:$M,$K$1,FALSE))/$B$16),
         K168-$B$23*F168),
IF(D167&gt;_Datum,K166+G167,IF(G168="",K168/(K168^(1/N167)),K168-G168)))),"")</f>
        <v>0</v>
      </c>
      <c r="L167" s="64">
        <f>I167/'Erkrankungs- und Strukturdaten'!$C$7</f>
        <v>59490.909090909088</v>
      </c>
      <c r="M167" s="65">
        <f t="shared" si="20"/>
        <v>2.9733623517150475E-3</v>
      </c>
      <c r="N167" s="163">
        <v>164</v>
      </c>
      <c r="O167" s="208">
        <f t="shared" si="17"/>
        <v>1</v>
      </c>
    </row>
    <row r="168" spans="1:15" x14ac:dyDescent="0.2">
      <c r="A168" s="179"/>
      <c r="B168" s="179"/>
      <c r="D168" s="86">
        <v>44022</v>
      </c>
      <c r="E168" s="64">
        <f t="shared" si="16"/>
        <v>111</v>
      </c>
      <c r="F168" s="101">
        <v>111</v>
      </c>
      <c r="G168" s="140"/>
      <c r="H168" s="64">
        <f>E168/'Erkrankungs- und Strukturdaten'!$C$7</f>
        <v>201.81818181818181</v>
      </c>
      <c r="I168" s="64">
        <f t="shared" si="19"/>
        <v>32831</v>
      </c>
      <c r="J168" s="64">
        <f t="shared" si="18"/>
        <v>0</v>
      </c>
      <c r="K168" s="101">
        <f>IFERROR(IF(D168=_Datum,Prognoseparameter!$C$14,
IF(_WachstumsrateKURZ="Bundesweit",IF(D168&gt;_Datum,
         K167+AVERAGE(F164:F167)*(1+_WR)*(1-(K167-VLOOKUP('Erkrankungs- und Strukturdaten'!$C$45,$D:$M,$K$1,FALSE))/$B$16),
         K169-$B$23*F169),
IF(D168&gt;_Datum,K167+G168,IF(G169="",K169/(K169^(1/N168)),K169-G169)))),"")</f>
        <v>0</v>
      </c>
      <c r="L168" s="64">
        <f>I168/'Erkrankungs- und Strukturdaten'!$C$7</f>
        <v>59692.727272727265</v>
      </c>
      <c r="M168" s="65">
        <f t="shared" si="20"/>
        <v>3.3924205378973106E-3</v>
      </c>
      <c r="N168" s="163">
        <v>165</v>
      </c>
      <c r="O168" s="208">
        <f t="shared" si="17"/>
        <v>1</v>
      </c>
    </row>
    <row r="169" spans="1:15" x14ac:dyDescent="0.2">
      <c r="A169" s="179"/>
      <c r="B169" s="179"/>
      <c r="D169" s="86">
        <v>44023</v>
      </c>
      <c r="E169" s="64">
        <f t="shared" si="16"/>
        <v>71</v>
      </c>
      <c r="F169" s="101">
        <v>71</v>
      </c>
      <c r="G169" s="140"/>
      <c r="H169" s="64">
        <f>E169/'Erkrankungs- und Strukturdaten'!$C$7</f>
        <v>129.09090909090909</v>
      </c>
      <c r="I169" s="64">
        <f t="shared" si="19"/>
        <v>32902</v>
      </c>
      <c r="J169" s="64">
        <f t="shared" si="18"/>
        <v>0</v>
      </c>
      <c r="K169" s="101">
        <f>IFERROR(IF(D169=_Datum,Prognoseparameter!$C$14,
IF(_WachstumsrateKURZ="Bundesweit",IF(D169&gt;_Datum,
         K168+AVERAGE(F165:F168)*(1+_WR)*(1-(K168-VLOOKUP('Erkrankungs- und Strukturdaten'!$C$45,$D:$M,$K$1,FALSE))/$B$16),
         K170-$B$23*F170),
IF(D169&gt;_Datum,K168+G169,IF(G170="",K170/(K170^(1/N169)),K170-G170)))),"")</f>
        <v>0</v>
      </c>
      <c r="L169" s="64">
        <f>I169/'Erkrankungs- und Strukturdaten'!$C$7</f>
        <v>59821.818181818177</v>
      </c>
      <c r="M169" s="65">
        <f t="shared" si="20"/>
        <v>2.1625902348390239E-3</v>
      </c>
      <c r="N169" s="163">
        <v>166</v>
      </c>
      <c r="O169" s="208">
        <f t="shared" si="17"/>
        <v>1</v>
      </c>
    </row>
    <row r="170" spans="1:15" x14ac:dyDescent="0.2">
      <c r="A170" s="179"/>
      <c r="B170" s="179"/>
      <c r="D170" s="86">
        <v>44024</v>
      </c>
      <c r="E170" s="64">
        <f t="shared" si="16"/>
        <v>46</v>
      </c>
      <c r="F170" s="101">
        <v>46</v>
      </c>
      <c r="G170" s="140"/>
      <c r="H170" s="64">
        <f>E170/'Erkrankungs- und Strukturdaten'!$C$7</f>
        <v>83.636363636363626</v>
      </c>
      <c r="I170" s="64">
        <f t="shared" si="19"/>
        <v>32948</v>
      </c>
      <c r="J170" s="64">
        <f t="shared" si="18"/>
        <v>0</v>
      </c>
      <c r="K170" s="101">
        <f>IFERROR(IF(D170=_Datum,Prognoseparameter!$C$14,
IF(_WachstumsrateKURZ="Bundesweit",IF(D170&gt;_Datum,
         K169+AVERAGE(F166:F169)*(1+_WR)*(1-(K169-VLOOKUP('Erkrankungs- und Strukturdaten'!$C$45,$D:$M,$K$1,FALSE))/$B$16),
         K171-$B$23*F171),
IF(D170&gt;_Datum,K169+G170,IF(G171="",K171/(K171^(1/N170)),K171-G171)))),"")</f>
        <v>0</v>
      </c>
      <c r="L170" s="64">
        <f>I170/'Erkrankungs- und Strukturdaten'!$C$7</f>
        <v>59905.454545454544</v>
      </c>
      <c r="M170" s="65">
        <f t="shared" si="20"/>
        <v>1.3980913014406419E-3</v>
      </c>
      <c r="N170" s="163">
        <v>167</v>
      </c>
      <c r="O170" s="208">
        <f t="shared" si="17"/>
        <v>1</v>
      </c>
    </row>
    <row r="171" spans="1:15" x14ac:dyDescent="0.2">
      <c r="A171" s="179"/>
      <c r="B171" s="179"/>
      <c r="D171" s="86">
        <v>44025</v>
      </c>
      <c r="E171" s="64">
        <f t="shared" si="16"/>
        <v>120</v>
      </c>
      <c r="F171" s="101">
        <v>120</v>
      </c>
      <c r="G171" s="140"/>
      <c r="H171" s="64">
        <f>E171/'Erkrankungs- und Strukturdaten'!$C$7</f>
        <v>218.18181818181816</v>
      </c>
      <c r="I171" s="64">
        <f t="shared" si="19"/>
        <v>33068</v>
      </c>
      <c r="J171" s="64">
        <f t="shared" si="18"/>
        <v>0</v>
      </c>
      <c r="K171" s="101">
        <f>IFERROR(IF(D171=_Datum,Prognoseparameter!$C$14,
IF(_WachstumsrateKURZ="Bundesweit",IF(D171&gt;_Datum,
         K170+AVERAGE(F167:F170)*(1+_WR)*(1-(K170-VLOOKUP('Erkrankungs- und Strukturdaten'!$C$45,$D:$M,$K$1,FALSE))/$B$16),
         K172-$B$23*F172),
IF(D171&gt;_Datum,K170+G171,IF(G172="",K172/(K172^(1/N171)),K172-G172)))),"")</f>
        <v>0</v>
      </c>
      <c r="L171" s="64">
        <f>I171/'Erkrankungs- und Strukturdaten'!$C$7</f>
        <v>60123.63636363636</v>
      </c>
      <c r="M171" s="65">
        <f t="shared" si="20"/>
        <v>3.6421027072963456E-3</v>
      </c>
      <c r="N171" s="163">
        <v>168</v>
      </c>
      <c r="O171" s="208">
        <f t="shared" si="17"/>
        <v>1</v>
      </c>
    </row>
    <row r="172" spans="1:15" x14ac:dyDescent="0.2">
      <c r="A172" s="179"/>
      <c r="B172" s="179"/>
      <c r="D172" s="86">
        <v>44026</v>
      </c>
      <c r="E172" s="64">
        <f t="shared" si="16"/>
        <v>129</v>
      </c>
      <c r="F172" s="101">
        <v>129</v>
      </c>
      <c r="G172" s="140"/>
      <c r="H172" s="64">
        <f>E172/'Erkrankungs- und Strukturdaten'!$C$7</f>
        <v>234.54545454545453</v>
      </c>
      <c r="I172" s="64">
        <f t="shared" si="19"/>
        <v>33197</v>
      </c>
      <c r="J172" s="64">
        <f t="shared" si="18"/>
        <v>0</v>
      </c>
      <c r="K172" s="101">
        <f>IFERROR(IF(D172=_Datum,Prognoseparameter!$C$14,
IF(_WachstumsrateKURZ="Bundesweit",IF(D172&gt;_Datum,
         K171+AVERAGE(F168:F171)*(1+_WR)*(1-(K171-VLOOKUP('Erkrankungs- und Strukturdaten'!$C$45,$D:$M,$K$1,FALSE))/$B$16),
         K173-$B$23*F173),
IF(D172&gt;_Datum,K171+G172,IF(G173="",K173/(K173^(1/N172)),K173-G173)))),"")</f>
        <v>0</v>
      </c>
      <c r="L172" s="64">
        <f>I172/'Erkrankungs- und Strukturdaten'!$C$7</f>
        <v>60358.181818181816</v>
      </c>
      <c r="M172" s="65">
        <f t="shared" si="20"/>
        <v>3.9010523769202857E-3</v>
      </c>
      <c r="N172" s="163">
        <v>169</v>
      </c>
      <c r="O172" s="208">
        <f t="shared" si="17"/>
        <v>1</v>
      </c>
    </row>
    <row r="173" spans="1:15" x14ac:dyDescent="0.2">
      <c r="A173" s="179"/>
      <c r="B173" s="179"/>
      <c r="D173" s="86">
        <v>44027</v>
      </c>
      <c r="E173" s="64">
        <f t="shared" si="16"/>
        <v>123</v>
      </c>
      <c r="F173" s="101">
        <v>123</v>
      </c>
      <c r="G173" s="140"/>
      <c r="H173" s="64">
        <f>E173/'Erkrankungs- und Strukturdaten'!$C$7</f>
        <v>223.63636363636363</v>
      </c>
      <c r="I173" s="64">
        <f t="shared" si="19"/>
        <v>33320</v>
      </c>
      <c r="J173" s="64">
        <f t="shared" si="18"/>
        <v>0</v>
      </c>
      <c r="K173" s="101">
        <f>IFERROR(IF(D173=_Datum,Prognoseparameter!$C$14,
IF(_WachstumsrateKURZ="Bundesweit",IF(D173&gt;_Datum,
         K172+AVERAGE(F169:F172)*(1+_WR)*(1-(K172-VLOOKUP('Erkrankungs- und Strukturdaten'!$C$45,$D:$M,$K$1,FALSE))/$B$16),
         K174-$B$23*F174),
IF(D173&gt;_Datum,K172+G173,IF(G174="",K174/(K174^(1/N173)),K174-G174)))),"")</f>
        <v>0</v>
      </c>
      <c r="L173" s="64">
        <f>I173/'Erkrankungs- und Strukturdaten'!$C$7</f>
        <v>60581.818181818177</v>
      </c>
      <c r="M173" s="65">
        <f t="shared" si="20"/>
        <v>3.7051540801879687E-3</v>
      </c>
      <c r="N173" s="163">
        <v>170</v>
      </c>
      <c r="O173" s="208">
        <f t="shared" si="17"/>
        <v>1</v>
      </c>
    </row>
    <row r="174" spans="1:15" x14ac:dyDescent="0.2">
      <c r="A174" s="179"/>
      <c r="B174" s="179"/>
      <c r="D174" s="86">
        <v>44028</v>
      </c>
      <c r="E174" s="64">
        <f t="shared" si="16"/>
        <v>106</v>
      </c>
      <c r="F174" s="101">
        <v>106</v>
      </c>
      <c r="G174" s="140"/>
      <c r="H174" s="64">
        <f>E174/'Erkrankungs- und Strukturdaten'!$C$7</f>
        <v>192.72727272727272</v>
      </c>
      <c r="I174" s="64">
        <f t="shared" si="19"/>
        <v>33426</v>
      </c>
      <c r="J174" s="64">
        <f t="shared" si="18"/>
        <v>0</v>
      </c>
      <c r="K174" s="101">
        <f>IFERROR(IF(D174=_Datum,Prognoseparameter!$C$14,
IF(_WachstumsrateKURZ="Bundesweit",IF(D174&gt;_Datum,
         K173+AVERAGE(F170:F173)*(1+_WR)*(1-(K173-VLOOKUP('Erkrankungs- und Strukturdaten'!$C$45,$D:$M,$K$1,FALSE))/$B$16),
         K175-$B$23*F175),
IF(D174&gt;_Datum,K173+G174,IF(G175="",K175/(K175^(1/N174)),K175-G175)))),"")</f>
        <v>0</v>
      </c>
      <c r="L174" s="64">
        <f>I174/'Erkrankungs- und Strukturdaten'!$C$7</f>
        <v>60774.545454545449</v>
      </c>
      <c r="M174" s="65">
        <f t="shared" si="20"/>
        <v>3.1812725090036016E-3</v>
      </c>
      <c r="N174" s="163">
        <v>171</v>
      </c>
      <c r="O174" s="208">
        <f t="shared" si="17"/>
        <v>1</v>
      </c>
    </row>
    <row r="175" spans="1:15" x14ac:dyDescent="0.2">
      <c r="A175" s="179"/>
      <c r="B175" s="179"/>
      <c r="D175" s="86">
        <v>44029</v>
      </c>
      <c r="E175" s="64">
        <f t="shared" si="16"/>
        <v>115</v>
      </c>
      <c r="F175" s="101">
        <v>115</v>
      </c>
      <c r="G175" s="140"/>
      <c r="H175" s="64">
        <f>E175/'Erkrankungs- und Strukturdaten'!$C$7</f>
        <v>209.09090909090907</v>
      </c>
      <c r="I175" s="64">
        <f t="shared" si="19"/>
        <v>33541</v>
      </c>
      <c r="J175" s="64">
        <f t="shared" si="18"/>
        <v>0</v>
      </c>
      <c r="K175" s="101">
        <f>IFERROR(IF(D175=_Datum,Prognoseparameter!$C$14,
IF(_WachstumsrateKURZ="Bundesweit",IF(D175&gt;_Datum,
         K174+AVERAGE(F171:F174)*(1+_WR)*(1-(K174-VLOOKUP('Erkrankungs- und Strukturdaten'!$C$45,$D:$M,$K$1,FALSE))/$B$16),
         K176-$B$23*F176),
IF(D175&gt;_Datum,K174+G175,IF(G176="",K176/(K176^(1/N175)),K176-G176)))),"")</f>
        <v>0</v>
      </c>
      <c r="L175" s="64">
        <f>I175/'Erkrankungs- und Strukturdaten'!$C$7</f>
        <v>60983.63636363636</v>
      </c>
      <c r="M175" s="65">
        <f t="shared" si="20"/>
        <v>3.4404355890624064E-3</v>
      </c>
      <c r="N175" s="163">
        <v>172</v>
      </c>
      <c r="O175" s="208">
        <f t="shared" si="17"/>
        <v>1</v>
      </c>
    </row>
    <row r="176" spans="1:15" x14ac:dyDescent="0.2">
      <c r="A176" s="179"/>
      <c r="B176" s="179"/>
      <c r="D176" s="86">
        <v>44030</v>
      </c>
      <c r="E176" s="64">
        <f t="shared" si="16"/>
        <v>80</v>
      </c>
      <c r="F176" s="101">
        <v>80</v>
      </c>
      <c r="G176" s="140"/>
      <c r="H176" s="64">
        <f>E176/'Erkrankungs- und Strukturdaten'!$C$7</f>
        <v>145.45454545454544</v>
      </c>
      <c r="I176" s="64">
        <f t="shared" si="19"/>
        <v>33621</v>
      </c>
      <c r="J176" s="64">
        <f t="shared" si="18"/>
        <v>0</v>
      </c>
      <c r="K176" s="101">
        <f>IFERROR(IF(D176=_Datum,Prognoseparameter!$C$14,
IF(_WachstumsrateKURZ="Bundesweit",IF(D176&gt;_Datum,
         K175+AVERAGE(F172:F175)*(1+_WR)*(1-(K175-VLOOKUP('Erkrankungs- und Strukturdaten'!$C$45,$D:$M,$K$1,FALSE))/$B$16),
         K177-$B$23*F177),
IF(D176&gt;_Datum,K175+G176,IF(G177="",K177/(K177^(1/N176)),K177-G177)))),"")</f>
        <v>0</v>
      </c>
      <c r="L176" s="64">
        <f>I176/'Erkrankungs- und Strukturdaten'!$C$7</f>
        <v>61129.090909090904</v>
      </c>
      <c r="M176" s="65">
        <f t="shared" si="20"/>
        <v>2.3851405742225931E-3</v>
      </c>
      <c r="N176" s="163">
        <v>173</v>
      </c>
      <c r="O176" s="208">
        <f t="shared" si="17"/>
        <v>1</v>
      </c>
    </row>
    <row r="177" spans="1:15" x14ac:dyDescent="0.2">
      <c r="A177" s="179"/>
      <c r="B177" s="179"/>
      <c r="D177" s="86">
        <v>44031</v>
      </c>
      <c r="E177" s="64">
        <f t="shared" si="16"/>
        <v>42</v>
      </c>
      <c r="F177" s="101">
        <v>42</v>
      </c>
      <c r="G177" s="140"/>
      <c r="H177" s="64">
        <f>E177/'Erkrankungs- und Strukturdaten'!$C$7</f>
        <v>76.36363636363636</v>
      </c>
      <c r="I177" s="64">
        <f t="shared" si="19"/>
        <v>33663</v>
      </c>
      <c r="J177" s="64">
        <f t="shared" si="18"/>
        <v>0</v>
      </c>
      <c r="K177" s="101">
        <f>IFERROR(IF(D177=_Datum,Prognoseparameter!$C$14,
IF(_WachstumsrateKURZ="Bundesweit",IF(D177&gt;_Datum,
         K176+AVERAGE(F173:F176)*(1+_WR)*(1-(K176-VLOOKUP('Erkrankungs- und Strukturdaten'!$C$45,$D:$M,$K$1,FALSE))/$B$16),
         K178-$B$23*F178),
IF(D177&gt;_Datum,K176+G177,IF(G178="",K178/(K178^(1/N177)),K178-G178)))),"")</f>
        <v>0</v>
      </c>
      <c r="L177" s="64">
        <f>I177/'Erkrankungs- und Strukturdaten'!$C$7</f>
        <v>61205.454545454544</v>
      </c>
      <c r="M177" s="65">
        <f t="shared" si="20"/>
        <v>1.2492192379762648E-3</v>
      </c>
      <c r="N177" s="163">
        <v>174</v>
      </c>
      <c r="O177" s="208">
        <f t="shared" si="17"/>
        <v>1</v>
      </c>
    </row>
    <row r="178" spans="1:15" x14ac:dyDescent="0.2">
      <c r="A178" s="179"/>
      <c r="B178" s="179"/>
      <c r="D178" s="86">
        <v>44032</v>
      </c>
      <c r="E178" s="64">
        <f t="shared" si="16"/>
        <v>127</v>
      </c>
      <c r="F178" s="101">
        <v>127</v>
      </c>
      <c r="G178" s="140"/>
      <c r="H178" s="64">
        <f>E178/'Erkrankungs- und Strukturdaten'!$C$7</f>
        <v>230.90909090909088</v>
      </c>
      <c r="I178" s="64">
        <f t="shared" si="19"/>
        <v>33790</v>
      </c>
      <c r="J178" s="64">
        <f t="shared" si="18"/>
        <v>0</v>
      </c>
      <c r="K178" s="101">
        <f>IFERROR(IF(D178=_Datum,Prognoseparameter!$C$14,
IF(_WachstumsrateKURZ="Bundesweit",IF(D178&gt;_Datum,
         K177+AVERAGE(F174:F177)*(1+_WR)*(1-(K177-VLOOKUP('Erkrankungs- und Strukturdaten'!$C$45,$D:$M,$K$1,FALSE))/$B$16),
         K179-$B$23*F179),
IF(D178&gt;_Datum,K177+G178,IF(G179="",K179/(K179^(1/N178)),K179-G179)))),"")</f>
        <v>0</v>
      </c>
      <c r="L178" s="64">
        <f>I178/'Erkrankungs- und Strukturdaten'!$C$7</f>
        <v>61436.363636363632</v>
      </c>
      <c r="M178" s="65">
        <f t="shared" si="20"/>
        <v>3.7726881145471289E-3</v>
      </c>
      <c r="N178" s="163">
        <v>175</v>
      </c>
      <c r="O178" s="208">
        <f t="shared" si="17"/>
        <v>1</v>
      </c>
    </row>
    <row r="179" spans="1:15" x14ac:dyDescent="0.2">
      <c r="A179" s="179"/>
      <c r="B179" s="179"/>
      <c r="D179" s="86">
        <v>44033</v>
      </c>
      <c r="E179" s="64">
        <f t="shared" si="16"/>
        <v>138</v>
      </c>
      <c r="F179" s="101">
        <v>138</v>
      </c>
      <c r="G179" s="140"/>
      <c r="H179" s="64">
        <f>E179/'Erkrankungs- und Strukturdaten'!$C$7</f>
        <v>250.90909090909088</v>
      </c>
      <c r="I179" s="64">
        <f t="shared" si="19"/>
        <v>33928</v>
      </c>
      <c r="J179" s="64">
        <f t="shared" si="18"/>
        <v>0</v>
      </c>
      <c r="K179" s="101">
        <f>IFERROR(IF(D179=_Datum,Prognoseparameter!$C$14,
IF(_WachstumsrateKURZ="Bundesweit",IF(D179&gt;_Datum,
         K178+AVERAGE(F175:F178)*(1+_WR)*(1-(K178-VLOOKUP('Erkrankungs- und Strukturdaten'!$C$45,$D:$M,$K$1,FALSE))/$B$16),
         K180-$B$23*F180),
IF(D179&gt;_Datum,K178+G179,IF(G180="",K180/(K180^(1/N179)),K180-G180)))),"")</f>
        <v>0</v>
      </c>
      <c r="L179" s="64">
        <f>I179/'Erkrankungs- und Strukturdaten'!$C$7</f>
        <v>61687.272727272721</v>
      </c>
      <c r="M179" s="65">
        <f t="shared" si="20"/>
        <v>4.0840485350695475E-3</v>
      </c>
      <c r="N179" s="163">
        <v>176</v>
      </c>
      <c r="O179" s="208">
        <f t="shared" si="17"/>
        <v>1</v>
      </c>
    </row>
    <row r="180" spans="1:15" x14ac:dyDescent="0.2">
      <c r="A180" s="179"/>
      <c r="B180" s="179"/>
      <c r="D180" s="86">
        <v>44034</v>
      </c>
      <c r="E180" s="64">
        <f t="shared" si="16"/>
        <v>118</v>
      </c>
      <c r="F180" s="101">
        <v>118</v>
      </c>
      <c r="G180" s="140"/>
      <c r="H180" s="64">
        <f>E180/'Erkrankungs- und Strukturdaten'!$C$7</f>
        <v>214.54545454545453</v>
      </c>
      <c r="I180" s="64">
        <f t="shared" si="19"/>
        <v>34046</v>
      </c>
      <c r="J180" s="64">
        <f t="shared" si="18"/>
        <v>0</v>
      </c>
      <c r="K180" s="101">
        <f>IFERROR(IF(D180=_Datum,Prognoseparameter!$C$14,
IF(_WachstumsrateKURZ="Bundesweit",IF(D180&gt;_Datum,
         K179+AVERAGE(F176:F179)*(1+_WR)*(1-(K179-VLOOKUP('Erkrankungs- und Strukturdaten'!$C$45,$D:$M,$K$1,FALSE))/$B$16),
         K181-$B$23*F181),
IF(D180&gt;_Datum,K179+G180,IF(G181="",K181/(K181^(1/N180)),K181-G181)))),"")</f>
        <v>0</v>
      </c>
      <c r="L180" s="64">
        <f>I180/'Erkrankungs- und Strukturdaten'!$C$7</f>
        <v>61901.818181818177</v>
      </c>
      <c r="M180" s="65">
        <f t="shared" si="20"/>
        <v>3.4779533128979014E-3</v>
      </c>
      <c r="N180" s="163">
        <v>177</v>
      </c>
      <c r="O180" s="208">
        <f t="shared" si="17"/>
        <v>1</v>
      </c>
    </row>
    <row r="181" spans="1:15" x14ac:dyDescent="0.2">
      <c r="A181" s="179"/>
      <c r="B181" s="179"/>
      <c r="D181" s="86">
        <v>44035</v>
      </c>
      <c r="E181" s="64">
        <f t="shared" si="16"/>
        <v>143</v>
      </c>
      <c r="F181" s="101">
        <v>143</v>
      </c>
      <c r="G181" s="140"/>
      <c r="H181" s="64">
        <f>E181/'Erkrankungs- und Strukturdaten'!$C$7</f>
        <v>260</v>
      </c>
      <c r="I181" s="64">
        <f t="shared" si="19"/>
        <v>34189</v>
      </c>
      <c r="J181" s="64">
        <f t="shared" si="18"/>
        <v>0</v>
      </c>
      <c r="K181" s="101">
        <f>IFERROR(IF(D181=_Datum,Prognoseparameter!$C$14,
IF(_WachstumsrateKURZ="Bundesweit",IF(D181&gt;_Datum,
         K180+AVERAGE(F177:F180)*(1+_WR)*(1-(K180-VLOOKUP('Erkrankungs- und Strukturdaten'!$C$45,$D:$M,$K$1,FALSE))/$B$16),
         K182-$B$23*F182),
IF(D181&gt;_Datum,K180+G181,IF(G182="",K182/(K182^(1/N181)),K182-G182)))),"")</f>
        <v>0</v>
      </c>
      <c r="L181" s="64">
        <f>I181/'Erkrankungs- und Strukturdaten'!$C$7</f>
        <v>62161.818181818177</v>
      </c>
      <c r="M181" s="65">
        <f t="shared" si="20"/>
        <v>4.20019972977736E-3</v>
      </c>
      <c r="N181" s="163">
        <v>178</v>
      </c>
      <c r="O181" s="208">
        <f t="shared" si="17"/>
        <v>1</v>
      </c>
    </row>
    <row r="182" spans="1:15" x14ac:dyDescent="0.2">
      <c r="A182" s="179"/>
      <c r="B182" s="179"/>
      <c r="D182" s="86">
        <v>44036</v>
      </c>
      <c r="E182" s="64">
        <f t="shared" si="16"/>
        <v>148</v>
      </c>
      <c r="F182" s="101">
        <v>148</v>
      </c>
      <c r="G182" s="140"/>
      <c r="H182" s="64">
        <f>E182/'Erkrankungs- und Strukturdaten'!$C$7</f>
        <v>269.09090909090907</v>
      </c>
      <c r="I182" s="64">
        <f t="shared" si="19"/>
        <v>34337</v>
      </c>
      <c r="J182" s="64">
        <f t="shared" si="18"/>
        <v>0</v>
      </c>
      <c r="K182" s="101">
        <f>IFERROR(IF(D182=_Datum,Prognoseparameter!$C$14,
IF(_WachstumsrateKURZ="Bundesweit",IF(D182&gt;_Datum,
         K181+AVERAGE(F178:F181)*(1+_WR)*(1-(K181-VLOOKUP('Erkrankungs- und Strukturdaten'!$C$45,$D:$M,$K$1,FALSE))/$B$16),
         K183-$B$23*F183),
IF(D182&gt;_Datum,K181+G182,IF(G183="",K183/(K183^(1/N182)),K183-G183)))),"")</f>
        <v>0</v>
      </c>
      <c r="L182" s="64">
        <f>I182/'Erkrankungs- und Strukturdaten'!$C$7</f>
        <v>62430.909090909088</v>
      </c>
      <c r="M182" s="65">
        <f t="shared" si="20"/>
        <v>4.328877709204715E-3</v>
      </c>
      <c r="N182" s="163">
        <v>179</v>
      </c>
      <c r="O182" s="208">
        <f t="shared" si="17"/>
        <v>1</v>
      </c>
    </row>
    <row r="183" spans="1:15" x14ac:dyDescent="0.2">
      <c r="A183" s="179"/>
      <c r="B183" s="179"/>
      <c r="D183" s="86">
        <v>44037</v>
      </c>
      <c r="E183" s="64">
        <f t="shared" si="16"/>
        <v>95</v>
      </c>
      <c r="F183" s="101">
        <v>95</v>
      </c>
      <c r="G183" s="140"/>
      <c r="H183" s="64">
        <f>E183/'Erkrankungs- und Strukturdaten'!$C$7</f>
        <v>172.72727272727272</v>
      </c>
      <c r="I183" s="64">
        <f t="shared" si="19"/>
        <v>34432</v>
      </c>
      <c r="J183" s="64">
        <f t="shared" si="18"/>
        <v>0</v>
      </c>
      <c r="K183" s="101">
        <f>IFERROR(IF(D183=_Datum,Prognoseparameter!$C$14,
IF(_WachstumsrateKURZ="Bundesweit",IF(D183&gt;_Datum,
         K182+AVERAGE(F179:F182)*(1+_WR)*(1-(K182-VLOOKUP('Erkrankungs- und Strukturdaten'!$C$45,$D:$M,$K$1,FALSE))/$B$16),
         K184-$B$23*F184),
IF(D183&gt;_Datum,K182+G183,IF(G184="",K184/(K184^(1/N183)),K184-G184)))),"")</f>
        <v>0</v>
      </c>
      <c r="L183" s="64">
        <f>I183/'Erkrankungs- und Strukturdaten'!$C$7</f>
        <v>62603.63636363636</v>
      </c>
      <c r="M183" s="65">
        <f t="shared" si="20"/>
        <v>2.7666948189999127E-3</v>
      </c>
      <c r="N183" s="163">
        <v>180</v>
      </c>
      <c r="O183" s="208">
        <f t="shared" si="17"/>
        <v>1</v>
      </c>
    </row>
    <row r="184" spans="1:15" x14ac:dyDescent="0.2">
      <c r="A184" s="179"/>
      <c r="B184" s="179"/>
      <c r="D184" s="86">
        <v>44038</v>
      </c>
      <c r="E184" s="64">
        <f t="shared" si="16"/>
        <v>57</v>
      </c>
      <c r="F184" s="101">
        <v>57</v>
      </c>
      <c r="G184" s="140"/>
      <c r="H184" s="64">
        <f>E184/'Erkrankungs- und Strukturdaten'!$C$7</f>
        <v>103.63636363636363</v>
      </c>
      <c r="I184" s="64">
        <f t="shared" si="19"/>
        <v>34489</v>
      </c>
      <c r="J184" s="64">
        <f t="shared" si="18"/>
        <v>0</v>
      </c>
      <c r="K184" s="101">
        <f>IFERROR(IF(D184=_Datum,Prognoseparameter!$C$14,
IF(_WachstumsrateKURZ="Bundesweit",IF(D184&gt;_Datum,
         K183+AVERAGE(F180:F183)*(1+_WR)*(1-(K183-VLOOKUP('Erkrankungs- und Strukturdaten'!$C$45,$D:$M,$K$1,FALSE))/$B$16),
         K185-$B$23*F185),
IF(D184&gt;_Datum,K183+G184,IF(G185="",K185/(K185^(1/N184)),K185-G185)))),"")</f>
        <v>0</v>
      </c>
      <c r="L184" s="64">
        <f>I184/'Erkrankungs- und Strukturdaten'!$C$7</f>
        <v>62707.272727272721</v>
      </c>
      <c r="M184" s="65">
        <f t="shared" si="20"/>
        <v>1.6554368029739776E-3</v>
      </c>
      <c r="N184" s="163">
        <v>181</v>
      </c>
      <c r="O184" s="208">
        <f t="shared" si="17"/>
        <v>1</v>
      </c>
    </row>
    <row r="185" spans="1:15" x14ac:dyDescent="0.2">
      <c r="A185" s="179"/>
      <c r="B185" s="179"/>
      <c r="D185" s="86">
        <v>44039</v>
      </c>
      <c r="E185" s="64">
        <f t="shared" si="16"/>
        <v>193</v>
      </c>
      <c r="F185" s="101">
        <v>193</v>
      </c>
      <c r="G185" s="140"/>
      <c r="H185" s="64">
        <f>E185/'Erkrankungs- und Strukturdaten'!$C$7</f>
        <v>350.90909090909088</v>
      </c>
      <c r="I185" s="64">
        <f t="shared" si="19"/>
        <v>34682</v>
      </c>
      <c r="J185" s="64">
        <f t="shared" si="18"/>
        <v>0</v>
      </c>
      <c r="K185" s="101">
        <f>IFERROR(IF(D185=_Datum,Prognoseparameter!$C$14,
IF(_WachstumsrateKURZ="Bundesweit",IF(D185&gt;_Datum,
         K184+AVERAGE(F181:F184)*(1+_WR)*(1-(K184-VLOOKUP('Erkrankungs- und Strukturdaten'!$C$45,$D:$M,$K$1,FALSE))/$B$16),
         K186-$B$23*F186),
IF(D185&gt;_Datum,K184+G185,IF(G186="",K186/(K186^(1/N185)),K186-G186)))),"")</f>
        <v>0</v>
      </c>
      <c r="L185" s="64">
        <f>I185/'Erkrankungs- und Strukturdaten'!$C$7</f>
        <v>63058.181818181816</v>
      </c>
      <c r="M185" s="65">
        <f t="shared" si="20"/>
        <v>5.595987126330134E-3</v>
      </c>
      <c r="N185" s="163">
        <v>182</v>
      </c>
      <c r="O185" s="208">
        <f t="shared" si="17"/>
        <v>1</v>
      </c>
    </row>
    <row r="186" spans="1:15" x14ac:dyDescent="0.2">
      <c r="A186" s="179"/>
      <c r="B186" s="179"/>
      <c r="D186" s="86">
        <v>44040</v>
      </c>
      <c r="E186" s="64">
        <f t="shared" si="16"/>
        <v>189</v>
      </c>
      <c r="F186" s="101">
        <v>189</v>
      </c>
      <c r="G186" s="140"/>
      <c r="H186" s="64">
        <f>E186/'Erkrankungs- und Strukturdaten'!$C$7</f>
        <v>343.63636363636363</v>
      </c>
      <c r="I186" s="64">
        <f t="shared" si="19"/>
        <v>34871</v>
      </c>
      <c r="J186" s="64">
        <f t="shared" si="18"/>
        <v>0</v>
      </c>
      <c r="K186" s="101">
        <f>IFERROR(IF(D186=_Datum,Prognoseparameter!$C$14,
IF(_WachstumsrateKURZ="Bundesweit",IF(D186&gt;_Datum,
         K185+AVERAGE(F182:F185)*(1+_WR)*(1-(K185-VLOOKUP('Erkrankungs- und Strukturdaten'!$C$45,$D:$M,$K$1,FALSE))/$B$16),
         K187-$B$23*F187),
IF(D186&gt;_Datum,K185+G186,IF(G187="",K187/(K187^(1/N186)),K187-G187)))),"")</f>
        <v>0</v>
      </c>
      <c r="L186" s="64">
        <f>I186/'Erkrankungs- und Strukturdaten'!$C$7</f>
        <v>63401.818181818177</v>
      </c>
      <c r="M186" s="65">
        <f t="shared" si="20"/>
        <v>5.4495127155296695E-3</v>
      </c>
      <c r="N186" s="163">
        <v>183</v>
      </c>
      <c r="O186" s="208">
        <f t="shared" si="17"/>
        <v>1</v>
      </c>
    </row>
    <row r="187" spans="1:15" x14ac:dyDescent="0.2">
      <c r="A187" s="179"/>
      <c r="B187" s="179"/>
      <c r="D187" s="86">
        <v>44041</v>
      </c>
      <c r="E187" s="64">
        <f t="shared" si="16"/>
        <v>220</v>
      </c>
      <c r="F187" s="101">
        <v>220</v>
      </c>
      <c r="G187" s="140"/>
      <c r="H187" s="64">
        <f>E187/'Erkrankungs- und Strukturdaten'!$C$7</f>
        <v>399.99999999999994</v>
      </c>
      <c r="I187" s="64">
        <f t="shared" si="19"/>
        <v>35091</v>
      </c>
      <c r="J187" s="64">
        <f t="shared" si="18"/>
        <v>0</v>
      </c>
      <c r="K187" s="101">
        <f>IFERROR(IF(D187=_Datum,Prognoseparameter!$C$14,
IF(_WachstumsrateKURZ="Bundesweit",IF(D187&gt;_Datum,
         K186+AVERAGE(F183:F186)*(1+_WR)*(1-(K186-VLOOKUP('Erkrankungs- und Strukturdaten'!$C$45,$D:$M,$K$1,FALSE))/$B$16),
         K188-$B$23*F188),
IF(D187&gt;_Datum,K186+G187,IF(G188="",K188/(K188^(1/N187)),K188-G188)))),"")</f>
        <v>0</v>
      </c>
      <c r="L187" s="64">
        <f>I187/'Erkrankungs- und Strukturdaten'!$C$7</f>
        <v>63801.818181818177</v>
      </c>
      <c r="M187" s="65">
        <f t="shared" si="20"/>
        <v>6.3089673367554703E-3</v>
      </c>
      <c r="N187" s="163">
        <v>184</v>
      </c>
      <c r="O187" s="208">
        <f t="shared" si="17"/>
        <v>1</v>
      </c>
    </row>
    <row r="188" spans="1:15" x14ac:dyDescent="0.2">
      <c r="A188" s="179"/>
      <c r="B188" s="179"/>
      <c r="D188" s="86">
        <v>44042</v>
      </c>
      <c r="E188" s="64">
        <f t="shared" si="16"/>
        <v>212</v>
      </c>
      <c r="F188" s="101">
        <v>212</v>
      </c>
      <c r="G188" s="140"/>
      <c r="H188" s="64">
        <f>E188/'Erkrankungs- und Strukturdaten'!$C$7</f>
        <v>385.45454545454544</v>
      </c>
      <c r="I188" s="64">
        <f t="shared" si="19"/>
        <v>35303</v>
      </c>
      <c r="J188" s="64">
        <f t="shared" si="18"/>
        <v>0</v>
      </c>
      <c r="K188" s="101">
        <f>IFERROR(IF(D188=_Datum,Prognoseparameter!$C$14,
IF(_WachstumsrateKURZ="Bundesweit",IF(D188&gt;_Datum,
         K187+AVERAGE(F184:F187)*(1+_WR)*(1-(K187-VLOOKUP('Erkrankungs- und Strukturdaten'!$C$45,$D:$M,$K$1,FALSE))/$B$16),
         K189-$B$23*F189),
IF(D188&gt;_Datum,K187+G188,IF(G189="",K189/(K189^(1/N188)),K189-G189)))),"")</f>
        <v>0</v>
      </c>
      <c r="L188" s="64">
        <f>I188/'Erkrankungs- und Strukturdaten'!$C$7</f>
        <v>64187.272727272721</v>
      </c>
      <c r="M188" s="65">
        <f t="shared" si="20"/>
        <v>6.0414351258157358E-3</v>
      </c>
      <c r="N188" s="163">
        <v>185</v>
      </c>
      <c r="O188" s="208">
        <f t="shared" si="17"/>
        <v>1</v>
      </c>
    </row>
    <row r="189" spans="1:15" x14ac:dyDescent="0.2">
      <c r="A189" s="179"/>
      <c r="B189" s="179"/>
      <c r="D189" s="86">
        <v>44043</v>
      </c>
      <c r="E189" s="64">
        <f t="shared" si="16"/>
        <v>164</v>
      </c>
      <c r="F189" s="101">
        <v>164</v>
      </c>
      <c r="G189" s="140"/>
      <c r="H189" s="64">
        <f>E189/'Erkrankungs- und Strukturdaten'!$C$7</f>
        <v>298.18181818181813</v>
      </c>
      <c r="I189" s="64">
        <f t="shared" si="19"/>
        <v>35467</v>
      </c>
      <c r="J189" s="64">
        <f t="shared" si="18"/>
        <v>0</v>
      </c>
      <c r="K189" s="101">
        <f>IFERROR(IF(D189=_Datum,Prognoseparameter!$C$14,
IF(_WachstumsrateKURZ="Bundesweit",IF(D189&gt;_Datum,
         K188+AVERAGE(F185:F188)*(1+_WR)*(1-(K188-VLOOKUP('Erkrankungs- und Strukturdaten'!$C$45,$D:$M,$K$1,FALSE))/$B$16),
         K190-$B$23*F190),
IF(D189&gt;_Datum,K188+G189,IF(G190="",K190/(K190^(1/N189)),K190-G190)))),"")</f>
        <v>0</v>
      </c>
      <c r="L189" s="64">
        <f>I189/'Erkrankungs- und Strukturdaten'!$C$7</f>
        <v>64485.454545454537</v>
      </c>
      <c r="M189" s="65">
        <f t="shared" si="20"/>
        <v>4.6454975497833041E-3</v>
      </c>
      <c r="N189" s="163">
        <v>186</v>
      </c>
      <c r="O189" s="208">
        <f t="shared" si="17"/>
        <v>1</v>
      </c>
    </row>
    <row r="190" spans="1:15" x14ac:dyDescent="0.2">
      <c r="A190" s="179"/>
      <c r="B190" s="179"/>
      <c r="D190" s="86">
        <v>44044</v>
      </c>
      <c r="E190" s="64">
        <f t="shared" si="16"/>
        <v>97</v>
      </c>
      <c r="F190" s="101">
        <v>97</v>
      </c>
      <c r="G190" s="140"/>
      <c r="H190" s="64">
        <f>E190/'Erkrankungs- und Strukturdaten'!$C$7</f>
        <v>176.36363636363635</v>
      </c>
      <c r="I190" s="64">
        <f t="shared" si="19"/>
        <v>35564</v>
      </c>
      <c r="J190" s="64">
        <f t="shared" si="18"/>
        <v>0</v>
      </c>
      <c r="K190" s="101">
        <f>IFERROR(IF(D190=_Datum,Prognoseparameter!$C$14,
IF(_WachstumsrateKURZ="Bundesweit",IF(D190&gt;_Datum,
         K189+AVERAGE(F186:F189)*(1+_WR)*(1-(K189-VLOOKUP('Erkrankungs- und Strukturdaten'!$C$45,$D:$M,$K$1,FALSE))/$B$16),
         K191-$B$23*F191),
IF(D190&gt;_Datum,K189+G190,IF(G191="",K191/(K191^(1/N190)),K191-G191)))),"")</f>
        <v>0</v>
      </c>
      <c r="L190" s="64">
        <f>I190/'Erkrankungs- und Strukturdaten'!$C$7</f>
        <v>64661.818181818177</v>
      </c>
      <c r="M190" s="65">
        <f t="shared" si="20"/>
        <v>2.734936701722728E-3</v>
      </c>
      <c r="N190" s="163">
        <v>187</v>
      </c>
      <c r="O190" s="208">
        <f t="shared" si="17"/>
        <v>1</v>
      </c>
    </row>
    <row r="191" spans="1:15" x14ac:dyDescent="0.2">
      <c r="A191" s="179"/>
      <c r="B191" s="179"/>
      <c r="D191" s="86">
        <v>44045</v>
      </c>
      <c r="E191" s="64">
        <f t="shared" si="16"/>
        <v>80</v>
      </c>
      <c r="F191" s="101">
        <v>80</v>
      </c>
      <c r="G191" s="140"/>
      <c r="H191" s="64">
        <f>E191/'Erkrankungs- und Strukturdaten'!$C$7</f>
        <v>145.45454545454544</v>
      </c>
      <c r="I191" s="64">
        <f t="shared" si="19"/>
        <v>35644</v>
      </c>
      <c r="J191" s="64">
        <f t="shared" si="18"/>
        <v>0</v>
      </c>
      <c r="K191" s="101">
        <f>IFERROR(IF(D191=_Datum,Prognoseparameter!$C$14,
IF(_WachstumsrateKURZ="Bundesweit",IF(D191&gt;_Datum,
         K190+AVERAGE(F187:F190)*(1+_WR)*(1-(K190-VLOOKUP('Erkrankungs- und Strukturdaten'!$C$45,$D:$M,$K$1,FALSE))/$B$16),
         K192-$B$23*F192),
IF(D191&gt;_Datum,K190+G191,IF(G192="",K192/(K192^(1/N191)),K192-G192)))),"")</f>
        <v>0</v>
      </c>
      <c r="L191" s="64">
        <f>I191/'Erkrankungs- und Strukturdaten'!$C$7</f>
        <v>64807.272727272721</v>
      </c>
      <c r="M191" s="65">
        <f t="shared" si="20"/>
        <v>2.2494657518839275E-3</v>
      </c>
      <c r="N191" s="163">
        <v>188</v>
      </c>
      <c r="O191" s="208">
        <f t="shared" si="17"/>
        <v>1</v>
      </c>
    </row>
    <row r="192" spans="1:15" x14ac:dyDescent="0.2">
      <c r="A192" s="179"/>
      <c r="B192" s="179"/>
      <c r="D192" s="86">
        <v>44046</v>
      </c>
      <c r="E192" s="64">
        <f t="shared" si="16"/>
        <v>196</v>
      </c>
      <c r="F192" s="101">
        <v>196</v>
      </c>
      <c r="G192" s="140"/>
      <c r="H192" s="64">
        <f>E192/'Erkrankungs- und Strukturdaten'!$C$7</f>
        <v>356.36363636363632</v>
      </c>
      <c r="I192" s="64">
        <f t="shared" si="19"/>
        <v>35840</v>
      </c>
      <c r="J192" s="64">
        <f t="shared" si="18"/>
        <v>0</v>
      </c>
      <c r="K192" s="101">
        <f>IFERROR(IF(D192=_Datum,Prognoseparameter!$C$14,
IF(_WachstumsrateKURZ="Bundesweit",IF(D192&gt;_Datum,
         K191+AVERAGE(F188:F191)*(1+_WR)*(1-(K191-VLOOKUP('Erkrankungs- und Strukturdaten'!$C$45,$D:$M,$K$1,FALSE))/$B$16),
         K193-$B$23*F193),
IF(D192&gt;_Datum,K191+G192,IF(G193="",K193/(K193^(1/N192)),K193-G193)))),"")</f>
        <v>0</v>
      </c>
      <c r="L192" s="64">
        <f>I192/'Erkrankungs- und Strukturdaten'!$C$7</f>
        <v>65163.63636363636</v>
      </c>
      <c r="M192" s="65">
        <f t="shared" si="20"/>
        <v>5.4988216810683424E-3</v>
      </c>
      <c r="N192" s="163">
        <v>189</v>
      </c>
      <c r="O192" s="208">
        <f t="shared" si="17"/>
        <v>1</v>
      </c>
    </row>
    <row r="193" spans="1:15" x14ac:dyDescent="0.2">
      <c r="A193" s="179"/>
      <c r="B193" s="179"/>
      <c r="D193" s="86">
        <v>44047</v>
      </c>
      <c r="E193" s="64">
        <f t="shared" si="16"/>
        <v>181</v>
      </c>
      <c r="F193" s="101">
        <v>181</v>
      </c>
      <c r="G193" s="140"/>
      <c r="H193" s="64">
        <f>E193/'Erkrankungs- und Strukturdaten'!$C$7</f>
        <v>329.09090909090907</v>
      </c>
      <c r="I193" s="64">
        <f t="shared" si="19"/>
        <v>36021</v>
      </c>
      <c r="J193" s="64">
        <f t="shared" si="18"/>
        <v>0</v>
      </c>
      <c r="K193" s="101">
        <f>IFERROR(IF(D193=_Datum,Prognoseparameter!$C$14,
IF(_WachstumsrateKURZ="Bundesweit",IF(D193&gt;_Datum,
         K192+AVERAGE(F189:F192)*(1+_WR)*(1-(K192-VLOOKUP('Erkrankungs- und Strukturdaten'!$C$45,$D:$M,$K$1,FALSE))/$B$16),
         K194-$B$23*F194),
IF(D193&gt;_Datum,K192+G193,IF(G194="",K194/(K194^(1/N193)),K194-G194)))),"")</f>
        <v>0</v>
      </c>
      <c r="L193" s="64">
        <f>I193/'Erkrankungs- und Strukturdaten'!$C$7</f>
        <v>65492.727272727265</v>
      </c>
      <c r="M193" s="65">
        <f t="shared" si="20"/>
        <v>5.0502232142857146E-3</v>
      </c>
      <c r="N193" s="163">
        <v>190</v>
      </c>
      <c r="O193" s="208">
        <f t="shared" si="17"/>
        <v>1</v>
      </c>
    </row>
    <row r="194" spans="1:15" x14ac:dyDescent="0.2">
      <c r="A194" s="179"/>
      <c r="B194" s="179"/>
      <c r="D194" s="86">
        <v>44048</v>
      </c>
      <c r="E194" s="64">
        <f t="shared" si="16"/>
        <v>152</v>
      </c>
      <c r="F194" s="101">
        <v>152</v>
      </c>
      <c r="G194" s="140"/>
      <c r="H194" s="64">
        <f>E194/'Erkrankungs- und Strukturdaten'!$C$7</f>
        <v>276.36363636363632</v>
      </c>
      <c r="I194" s="64">
        <f t="shared" si="19"/>
        <v>36173</v>
      </c>
      <c r="J194" s="64">
        <f t="shared" si="18"/>
        <v>0</v>
      </c>
      <c r="K194" s="101">
        <f>IFERROR(IF(D194=_Datum,Prognoseparameter!$C$14,
IF(_WachstumsrateKURZ="Bundesweit",IF(D194&gt;_Datum,
         K193+AVERAGE(F190:F193)*(1+_WR)*(1-(K193-VLOOKUP('Erkrankungs- und Strukturdaten'!$C$45,$D:$M,$K$1,FALSE))/$B$16),
         K195-$B$23*F195),
IF(D194&gt;_Datum,K193+G194,IF(G195="",K195/(K195^(1/N194)),K195-G195)))),"")</f>
        <v>0</v>
      </c>
      <c r="L194" s="64">
        <f>I194/'Erkrankungs- und Strukturdaten'!$C$7</f>
        <v>65769.090909090897</v>
      </c>
      <c r="M194" s="65">
        <f t="shared" si="20"/>
        <v>4.2197606951500516E-3</v>
      </c>
      <c r="N194" s="163">
        <v>191</v>
      </c>
      <c r="O194" s="208">
        <f t="shared" si="17"/>
        <v>1</v>
      </c>
    </row>
    <row r="195" spans="1:15" x14ac:dyDescent="0.2">
      <c r="A195" s="179"/>
      <c r="B195" s="179"/>
      <c r="D195" s="86">
        <v>44049</v>
      </c>
      <c r="E195" s="64">
        <f t="shared" si="16"/>
        <v>156</v>
      </c>
      <c r="F195" s="101">
        <v>156</v>
      </c>
      <c r="G195" s="140"/>
      <c r="H195" s="64">
        <f>E195/'Erkrankungs- und Strukturdaten'!$C$7</f>
        <v>283.63636363636363</v>
      </c>
      <c r="I195" s="64">
        <f t="shared" si="19"/>
        <v>36329</v>
      </c>
      <c r="J195" s="64">
        <f t="shared" si="18"/>
        <v>0</v>
      </c>
      <c r="K195" s="101">
        <f>IFERROR(IF(D195=_Datum,Prognoseparameter!$C$14,
IF(_WachstumsrateKURZ="Bundesweit",IF(D195&gt;_Datum,
         K194+AVERAGE(F191:F194)*(1+_WR)*(1-(K194-VLOOKUP('Erkrankungs- und Strukturdaten'!$C$45,$D:$M,$K$1,FALSE))/$B$16),
         K196-$B$23*F196),
IF(D195&gt;_Datum,K194+G195,IF(G196="",K196/(K196^(1/N195)),K196-G196)))),"")</f>
        <v>0</v>
      </c>
      <c r="L195" s="64">
        <f>I195/'Erkrankungs- und Strukturdaten'!$C$7</f>
        <v>66052.727272727265</v>
      </c>
      <c r="M195" s="65">
        <f t="shared" si="20"/>
        <v>4.3126088519061176E-3</v>
      </c>
      <c r="N195" s="163">
        <v>192</v>
      </c>
      <c r="O195" s="208">
        <f t="shared" si="17"/>
        <v>1</v>
      </c>
    </row>
    <row r="196" spans="1:15" x14ac:dyDescent="0.2">
      <c r="A196" s="179"/>
      <c r="B196" s="179"/>
      <c r="D196" s="86">
        <v>44050</v>
      </c>
      <c r="E196" s="64">
        <f t="shared" ref="E196:E259" si="21">IF(_AusgangswertKURZ="Bevölkerungsanteil",
$B$26*IF(F196=ROUNDDOWN(F196,0),F196,F196*VLOOKUP(WEEKDAY($D196,1),$A$51:$B$57,$B$1,FALSE)),
$B$17*IF(G196=ROUNDDOWN(G196,0),G196,G196*VLOOKUP(WEEKDAY($D196,1),$A$51:$B$57,$B$1,FALSE)))</f>
        <v>185</v>
      </c>
      <c r="F196" s="101">
        <v>185</v>
      </c>
      <c r="G196" s="140"/>
      <c r="H196" s="64">
        <f>E196/'Erkrankungs- und Strukturdaten'!$C$7</f>
        <v>336.36363636363632</v>
      </c>
      <c r="I196" s="64">
        <f t="shared" si="19"/>
        <v>36514</v>
      </c>
      <c r="J196" s="64">
        <f t="shared" si="18"/>
        <v>0</v>
      </c>
      <c r="K196" s="101">
        <f>IFERROR(IF(D196=_Datum,Prognoseparameter!$C$14,
IF(_WachstumsrateKURZ="Bundesweit",IF(D196&gt;_Datum,
         K195+AVERAGE(F192:F195)*(1+_WR)*(1-(K195-VLOOKUP('Erkrankungs- und Strukturdaten'!$C$45,$D:$M,$K$1,FALSE))/$B$16),
         K197-$B$23*F197),
IF(D196&gt;_Datum,K195+G196,IF(G197="",K197/(K197^(1/N196)),K197-G197)))),"")</f>
        <v>0</v>
      </c>
      <c r="L196" s="64">
        <f>I196/'Erkrankungs- und Strukturdaten'!$C$7</f>
        <v>66389.090909090897</v>
      </c>
      <c r="M196" s="65">
        <f t="shared" si="20"/>
        <v>5.0923504638167852E-3</v>
      </c>
      <c r="N196" s="163">
        <v>193</v>
      </c>
      <c r="O196" s="208">
        <f t="shared" ref="O196:O220" si="22">IF(F196=ROUNDDOWN(F196,0),1,0)</f>
        <v>1</v>
      </c>
    </row>
    <row r="197" spans="1:15" x14ac:dyDescent="0.2">
      <c r="A197" s="179"/>
      <c r="B197" s="179"/>
      <c r="D197" s="86">
        <v>44051</v>
      </c>
      <c r="E197" s="64">
        <f t="shared" si="21"/>
        <v>130</v>
      </c>
      <c r="F197" s="101">
        <v>130</v>
      </c>
      <c r="G197" s="140"/>
      <c r="H197" s="64">
        <f>E197/'Erkrankungs- und Strukturdaten'!$C$7</f>
        <v>236.36363636363635</v>
      </c>
      <c r="I197" s="64">
        <f t="shared" si="19"/>
        <v>36644</v>
      </c>
      <c r="J197" s="64">
        <f t="shared" ref="J197:J220" si="23">J196+G197</f>
        <v>0</v>
      </c>
      <c r="K197" s="101">
        <f>IFERROR(IF(D197=_Datum,Prognoseparameter!$C$14,
IF(_WachstumsrateKURZ="Bundesweit",IF(D197&gt;_Datum,
         K196+AVERAGE(F193:F196)*(1+_WR)*(1-(K196-VLOOKUP('Erkrankungs- und Strukturdaten'!$C$45,$D:$M,$K$1,FALSE))/$B$16),
         K198-$B$23*F198),
IF(D197&gt;_Datum,K196+G197,IF(G198="",K198/(K198^(1/N197)),K198-G198)))),"")</f>
        <v>0</v>
      </c>
      <c r="L197" s="64">
        <f>I197/'Erkrankungs- und Strukturdaten'!$C$7</f>
        <v>66625.454545454544</v>
      </c>
      <c r="M197" s="65">
        <f t="shared" si="20"/>
        <v>3.5602782494385714E-3</v>
      </c>
      <c r="N197" s="163"/>
      <c r="O197" s="208">
        <f t="shared" si="22"/>
        <v>1</v>
      </c>
    </row>
    <row r="198" spans="1:15" x14ac:dyDescent="0.2">
      <c r="A198" s="179"/>
      <c r="B198" s="179"/>
      <c r="D198" s="86">
        <v>44052</v>
      </c>
      <c r="E198" s="64">
        <f t="shared" si="21"/>
        <v>100</v>
      </c>
      <c r="F198" s="101">
        <v>100</v>
      </c>
      <c r="G198" s="140"/>
      <c r="H198" s="64">
        <f>E198/'Erkrankungs- und Strukturdaten'!$C$7</f>
        <v>181.81818181818181</v>
      </c>
      <c r="I198" s="64">
        <f t="shared" ref="I198:I261" si="24">I197+F198</f>
        <v>36744</v>
      </c>
      <c r="J198" s="64">
        <f t="shared" si="23"/>
        <v>0</v>
      </c>
      <c r="K198" s="101">
        <f>IFERROR(IF(D198=_Datum,Prognoseparameter!$C$14,
IF(_WachstumsrateKURZ="Bundesweit",IF(D198&gt;_Datum,
         K197+AVERAGE(F194:F197)*(1+_WR)*(1-(K197-VLOOKUP('Erkrankungs- und Strukturdaten'!$C$45,$D:$M,$K$1,FALSE))/$B$16),
         K199-$B$23*F199),
IF(D198&gt;_Datum,K197+G198,IF(G199="",K199/(K199^(1/N198)),K199-G199)))),"")</f>
        <v>0</v>
      </c>
      <c r="L198" s="64">
        <f>I198/'Erkrankungs- und Strukturdaten'!$C$7</f>
        <v>66807.272727272721</v>
      </c>
      <c r="M198" s="65">
        <f t="shared" ref="M198:M220" si="25">IFERROR((I198-I197)/I197,0)</f>
        <v>2.7289597205545245E-3</v>
      </c>
      <c r="N198" s="163"/>
      <c r="O198" s="208">
        <f t="shared" si="22"/>
        <v>1</v>
      </c>
    </row>
    <row r="199" spans="1:15" x14ac:dyDescent="0.2">
      <c r="A199" s="179"/>
      <c r="B199" s="179"/>
      <c r="D199" s="86">
        <v>44053</v>
      </c>
      <c r="E199" s="64">
        <f t="shared" si="21"/>
        <v>281</v>
      </c>
      <c r="F199" s="101">
        <v>281</v>
      </c>
      <c r="G199" s="140"/>
      <c r="H199" s="64">
        <f>E199/'Erkrankungs- und Strukturdaten'!$C$7</f>
        <v>510.90909090909088</v>
      </c>
      <c r="I199" s="64">
        <f t="shared" si="24"/>
        <v>37025</v>
      </c>
      <c r="J199" s="64">
        <f t="shared" si="23"/>
        <v>0</v>
      </c>
      <c r="K199" s="101">
        <f>IFERROR(IF(D199=_Datum,Prognoseparameter!$C$14,
IF(_WachstumsrateKURZ="Bundesweit",IF(D199&gt;_Datum,
         K198+AVERAGE(F195:F198)*(1+_WR)*(1-(K198-VLOOKUP('Erkrankungs- und Strukturdaten'!$C$45,$D:$M,$K$1,FALSE))/$B$16),
         K200-$B$23*F200),
IF(D199&gt;_Datum,K198+G199,IF(G200="",K200/(K200^(1/N199)),K200-G200)))),"")</f>
        <v>0</v>
      </c>
      <c r="L199" s="64">
        <f>I199/'Erkrankungs- und Strukturdaten'!$C$7</f>
        <v>67318.181818181809</v>
      </c>
      <c r="M199" s="65">
        <f t="shared" si="25"/>
        <v>7.6475070759851951E-3</v>
      </c>
      <c r="N199" s="163"/>
      <c r="O199" s="208">
        <f t="shared" si="22"/>
        <v>1</v>
      </c>
    </row>
    <row r="200" spans="1:15" x14ac:dyDescent="0.2">
      <c r="A200" s="179"/>
      <c r="B200" s="179"/>
      <c r="D200" s="86">
        <v>44054</v>
      </c>
      <c r="E200" s="64">
        <f t="shared" si="21"/>
        <v>255</v>
      </c>
      <c r="F200" s="101">
        <v>255</v>
      </c>
      <c r="G200" s="140"/>
      <c r="H200" s="64">
        <f>E200/'Erkrankungs- und Strukturdaten'!$C$7</f>
        <v>463.63636363636363</v>
      </c>
      <c r="I200" s="64">
        <f t="shared" si="24"/>
        <v>37280</v>
      </c>
      <c r="J200" s="64">
        <f t="shared" si="23"/>
        <v>0</v>
      </c>
      <c r="K200" s="101">
        <f>IFERROR(IF(D200=_Datum,Prognoseparameter!$C$14,
IF(_WachstumsrateKURZ="Bundesweit",IF(D200&gt;_Datum,
         K199+AVERAGE(F196:F199)*(1+_WR)*(1-(K199-VLOOKUP('Erkrankungs- und Strukturdaten'!$C$45,$D:$M,$K$1,FALSE))/$B$16),
         K201-$B$23*F201),
IF(D200&gt;_Datum,K199+G200,IF(G201="",K201/(K201^(1/N200)),K201-G201)))),"")</f>
        <v>0</v>
      </c>
      <c r="L200" s="64">
        <f>I200/'Erkrankungs- und Strukturdaten'!$C$7</f>
        <v>67781.818181818177</v>
      </c>
      <c r="M200" s="65">
        <f t="shared" si="25"/>
        <v>6.887238352464551E-3</v>
      </c>
      <c r="N200" s="163"/>
      <c r="O200" s="208">
        <f t="shared" si="22"/>
        <v>1</v>
      </c>
    </row>
    <row r="201" spans="1:15" x14ac:dyDescent="0.2">
      <c r="A201" s="179"/>
      <c r="B201" s="179"/>
      <c r="D201" s="86">
        <v>44055</v>
      </c>
      <c r="E201" s="64">
        <f t="shared" si="21"/>
        <v>246</v>
      </c>
      <c r="F201" s="101">
        <v>246</v>
      </c>
      <c r="G201" s="140"/>
      <c r="H201" s="64">
        <f>E201/'Erkrankungs- und Strukturdaten'!$C$7</f>
        <v>447.27272727272725</v>
      </c>
      <c r="I201" s="64">
        <f t="shared" si="24"/>
        <v>37526</v>
      </c>
      <c r="J201" s="64">
        <f t="shared" si="23"/>
        <v>0</v>
      </c>
      <c r="K201" s="101">
        <f>IFERROR(IF(D201=_Datum,Prognoseparameter!$C$14,
IF(_WachstumsrateKURZ="Bundesweit",IF(D201&gt;_Datum,
         K200+AVERAGE(F197:F200)*(1+_WR)*(1-(K200-VLOOKUP('Erkrankungs- und Strukturdaten'!$C$45,$D:$M,$K$1,FALSE))/$B$16),
         K202-$B$23*F202),
IF(D201&gt;_Datum,K200+G201,IF(G202="",K202/(K202^(1/N201)),K202-G202)))),"")</f>
        <v>0</v>
      </c>
      <c r="L201" s="64">
        <f>I201/'Erkrankungs- und Strukturdaten'!$C$7</f>
        <v>68229.090909090897</v>
      </c>
      <c r="M201" s="65">
        <f t="shared" si="25"/>
        <v>6.5987124463519316E-3</v>
      </c>
      <c r="N201" s="163"/>
      <c r="O201" s="208">
        <f t="shared" si="22"/>
        <v>1</v>
      </c>
    </row>
    <row r="202" spans="1:15" x14ac:dyDescent="0.2">
      <c r="A202" s="179"/>
      <c r="B202" s="179"/>
      <c r="D202" s="86">
        <v>44056</v>
      </c>
      <c r="E202" s="64">
        <f t="shared" si="21"/>
        <v>273</v>
      </c>
      <c r="F202" s="101">
        <v>273</v>
      </c>
      <c r="G202" s="140"/>
      <c r="H202" s="64">
        <f>E202/'Erkrankungs- und Strukturdaten'!$C$7</f>
        <v>496.36363636363632</v>
      </c>
      <c r="I202" s="64">
        <f t="shared" si="24"/>
        <v>37799</v>
      </c>
      <c r="J202" s="64">
        <f t="shared" si="23"/>
        <v>0</v>
      </c>
      <c r="K202" s="101">
        <f>IFERROR(IF(D202=_Datum,Prognoseparameter!$C$14,
IF(_WachstumsrateKURZ="Bundesweit",IF(D202&gt;_Datum,
         K201+AVERAGE(F198:F201)*(1+_WR)*(1-(K201-VLOOKUP('Erkrankungs- und Strukturdaten'!$C$45,$D:$M,$K$1,FALSE))/$B$16),
         K203-$B$23*F203),
IF(D202&gt;_Datum,K201+G202,IF(G203="",K203/(K203^(1/N202)),K203-G203)))),"")</f>
        <v>0</v>
      </c>
      <c r="L202" s="64">
        <f>I202/'Erkrankungs- und Strukturdaten'!$C$7</f>
        <v>68725.454545454544</v>
      </c>
      <c r="M202" s="65">
        <f t="shared" si="25"/>
        <v>7.2749560304855299E-3</v>
      </c>
      <c r="N202" s="163"/>
      <c r="O202" s="208">
        <f t="shared" si="22"/>
        <v>1</v>
      </c>
    </row>
    <row r="203" spans="1:15" x14ac:dyDescent="0.2">
      <c r="D203" s="86">
        <v>44057</v>
      </c>
      <c r="E203" s="64">
        <f t="shared" si="21"/>
        <v>233</v>
      </c>
      <c r="F203" s="101">
        <v>233</v>
      </c>
      <c r="G203" s="140"/>
      <c r="H203" s="64">
        <f>E203/'Erkrankungs- und Strukturdaten'!$C$7</f>
        <v>423.63636363636363</v>
      </c>
      <c r="I203" s="64">
        <f t="shared" si="24"/>
        <v>38032</v>
      </c>
      <c r="J203" s="64">
        <f t="shared" si="23"/>
        <v>0</v>
      </c>
      <c r="K203" s="101">
        <f>IFERROR(IF(D203=_Datum,Prognoseparameter!$C$14,
IF(_WachstumsrateKURZ="Bundesweit",IF(D203&gt;_Datum,
         K202+AVERAGE(F199:F202)*(1+_WR)*(1-(K202-VLOOKUP('Erkrankungs- und Strukturdaten'!$C$45,$D:$M,$K$1,FALSE))/$B$16),
         K204-$B$23*F204),
IF(D203&gt;_Datum,K202+G203,IF(G204="",K204/(K204^(1/N203)),K204-G204)))),"")</f>
        <v>0</v>
      </c>
      <c r="L203" s="64">
        <f>I203/'Erkrankungs- und Strukturdaten'!$C$7</f>
        <v>69149.090909090897</v>
      </c>
      <c r="M203" s="65">
        <f t="shared" si="25"/>
        <v>6.1641842376782456E-3</v>
      </c>
      <c r="N203" s="163"/>
      <c r="O203" s="208">
        <f t="shared" si="22"/>
        <v>1</v>
      </c>
    </row>
    <row r="204" spans="1:15" x14ac:dyDescent="0.2">
      <c r="D204" s="86">
        <v>44058</v>
      </c>
      <c r="E204" s="64">
        <f t="shared" si="21"/>
        <v>149</v>
      </c>
      <c r="F204" s="101">
        <v>149</v>
      </c>
      <c r="G204" s="140"/>
      <c r="H204" s="64">
        <f>E204/'Erkrankungs- und Strukturdaten'!$C$7</f>
        <v>270.90909090909088</v>
      </c>
      <c r="I204" s="64">
        <f t="shared" si="24"/>
        <v>38181</v>
      </c>
      <c r="J204" s="64">
        <f t="shared" si="23"/>
        <v>0</v>
      </c>
      <c r="K204" s="101">
        <f>IFERROR(IF(D204=_Datum,Prognoseparameter!$C$14,
IF(_WachstumsrateKURZ="Bundesweit",IF(D204&gt;_Datum,
         K203+AVERAGE(F200:F203)*(1+_WR)*(1-(K203-VLOOKUP('Erkrankungs- und Strukturdaten'!$C$45,$D:$M,$K$1,FALSE))/$B$16),
         K205-$B$23*F205),
IF(D204&gt;_Datum,K203+G204,IF(G205="",K205/(K205^(1/N204)),K205-G205)))),"")</f>
        <v>0</v>
      </c>
      <c r="L204" s="64">
        <f>I204/'Erkrankungs- und Strukturdaten'!$C$7</f>
        <v>69420</v>
      </c>
      <c r="M204" s="65">
        <f t="shared" si="25"/>
        <v>3.917753470761464E-3</v>
      </c>
      <c r="N204" s="163"/>
      <c r="O204" s="208">
        <f t="shared" si="22"/>
        <v>1</v>
      </c>
    </row>
    <row r="205" spans="1:15" x14ac:dyDescent="0.2">
      <c r="D205" s="86">
        <v>44059</v>
      </c>
      <c r="E205" s="64">
        <f t="shared" si="21"/>
        <v>137</v>
      </c>
      <c r="F205" s="101">
        <v>137</v>
      </c>
      <c r="G205" s="140"/>
      <c r="H205" s="64">
        <f>E205/'Erkrankungs- und Strukturdaten'!$C$7</f>
        <v>249.09090909090907</v>
      </c>
      <c r="I205" s="64">
        <f t="shared" si="24"/>
        <v>38318</v>
      </c>
      <c r="J205" s="64">
        <f t="shared" si="23"/>
        <v>0</v>
      </c>
      <c r="K205" s="101">
        <f>IFERROR(IF(D205=_Datum,Prognoseparameter!$C$14,
IF(_WachstumsrateKURZ="Bundesweit",IF(D205&gt;_Datum,
         K204+AVERAGE(F201:F204)*(1+_WR)*(1-(K204-VLOOKUP('Erkrankungs- und Strukturdaten'!$C$45,$D:$M,$K$1,FALSE))/$B$16),
         K206-$B$23*F206),
IF(D205&gt;_Datum,K204+G205,IF(G206="",K206/(K206^(1/N205)),K206-G206)))),"")</f>
        <v>0</v>
      </c>
      <c r="L205" s="64">
        <f>I205/'Erkrankungs- und Strukturdaten'!$C$7</f>
        <v>69669.090909090897</v>
      </c>
      <c r="M205" s="65">
        <f t="shared" si="25"/>
        <v>3.5881721274979702E-3</v>
      </c>
      <c r="N205" s="163"/>
      <c r="O205" s="208">
        <f t="shared" si="22"/>
        <v>1</v>
      </c>
    </row>
    <row r="206" spans="1:15" x14ac:dyDescent="0.2">
      <c r="D206" s="86">
        <v>44060</v>
      </c>
      <c r="E206" s="64">
        <f t="shared" si="21"/>
        <v>285</v>
      </c>
      <c r="F206" s="101">
        <v>285</v>
      </c>
      <c r="G206" s="140"/>
      <c r="H206" s="64">
        <f>E206/'Erkrankungs- und Strukturdaten'!$C$7</f>
        <v>518.18181818181813</v>
      </c>
      <c r="I206" s="64">
        <f t="shared" si="24"/>
        <v>38603</v>
      </c>
      <c r="J206" s="64">
        <f t="shared" si="23"/>
        <v>0</v>
      </c>
      <c r="K206" s="101">
        <f>IFERROR(IF(D206=_Datum,Prognoseparameter!$C$14,
IF(_WachstumsrateKURZ="Bundesweit",IF(D206&gt;_Datum,
         K205+AVERAGE(F202:F205)*(1+_WR)*(1-(K205-VLOOKUP('Erkrankungs- und Strukturdaten'!$C$45,$D:$M,$K$1,FALSE))/$B$16),
         K207-$B$23*F207),
IF(D206&gt;_Datum,K205+G206,IF(G207="",K207/(K207^(1/N206)),K207-G207)))),"")</f>
        <v>0</v>
      </c>
      <c r="L206" s="64">
        <f>I206/'Erkrankungs- und Strukturdaten'!$C$7</f>
        <v>70187.272727272721</v>
      </c>
      <c r="M206" s="65">
        <f t="shared" si="25"/>
        <v>7.4377577117803644E-3</v>
      </c>
      <c r="N206" s="163"/>
      <c r="O206" s="208">
        <f t="shared" si="22"/>
        <v>1</v>
      </c>
    </row>
    <row r="207" spans="1:15" x14ac:dyDescent="0.2">
      <c r="D207" s="86">
        <v>44061</v>
      </c>
      <c r="E207" s="64">
        <f t="shared" si="21"/>
        <v>294</v>
      </c>
      <c r="F207" s="101">
        <v>294</v>
      </c>
      <c r="G207" s="140"/>
      <c r="H207" s="64">
        <f>E207/'Erkrankungs- und Strukturdaten'!$C$7</f>
        <v>534.5454545454545</v>
      </c>
      <c r="I207" s="64">
        <f t="shared" si="24"/>
        <v>38897</v>
      </c>
      <c r="J207" s="64">
        <f t="shared" si="23"/>
        <v>0</v>
      </c>
      <c r="K207" s="101">
        <f>IFERROR(IF(D207=_Datum,Prognoseparameter!$C$14,
IF(_WachstumsrateKURZ="Bundesweit",IF(D207&gt;_Datum,
         K206+AVERAGE(F203:F206)*(1+_WR)*(1-(K206-VLOOKUP('Erkrankungs- und Strukturdaten'!$C$45,$D:$M,$K$1,FALSE))/$B$16),
         K208-$B$23*F208),
IF(D207&gt;_Datum,K206+G207,IF(G208="",K208/(K208^(1/N207)),K208-G208)))),"")</f>
        <v>0</v>
      </c>
      <c r="L207" s="64">
        <f>I207/'Erkrankungs- und Strukturdaten'!$C$7</f>
        <v>70721.818181818177</v>
      </c>
      <c r="M207" s="65">
        <f t="shared" si="25"/>
        <v>7.6159883946843509E-3</v>
      </c>
      <c r="N207" s="163"/>
      <c r="O207" s="208">
        <f t="shared" si="22"/>
        <v>1</v>
      </c>
    </row>
    <row r="208" spans="1:15" x14ac:dyDescent="0.2">
      <c r="D208" s="86">
        <v>44062</v>
      </c>
      <c r="E208" s="64">
        <f t="shared" si="21"/>
        <v>285</v>
      </c>
      <c r="F208" s="101">
        <v>285</v>
      </c>
      <c r="G208" s="140"/>
      <c r="H208" s="64">
        <f>E208/'Erkrankungs- und Strukturdaten'!$C$7</f>
        <v>518.18181818181813</v>
      </c>
      <c r="I208" s="64">
        <f t="shared" si="24"/>
        <v>39182</v>
      </c>
      <c r="J208" s="64">
        <f t="shared" si="23"/>
        <v>0</v>
      </c>
      <c r="K208" s="101">
        <f>IFERROR(IF(D208=_Datum,Prognoseparameter!$C$14,
IF(_WachstumsrateKURZ="Bundesweit",IF(D208&gt;_Datum,
         K207+AVERAGE(F204:F207)*(1+_WR)*(1-(K207-VLOOKUP('Erkrankungs- und Strukturdaten'!$C$45,$D:$M,$K$1,FALSE))/$B$16),
         K209-$B$23*F209),
IF(D208&gt;_Datum,K207+G208,IF(G209="",K209/(K209^(1/N208)),K209-G209)))),"")</f>
        <v>0</v>
      </c>
      <c r="L208" s="64">
        <f>I208/'Erkrankungs- und Strukturdaten'!$C$7</f>
        <v>71240</v>
      </c>
      <c r="M208" s="65">
        <f t="shared" si="25"/>
        <v>7.327043216700517E-3</v>
      </c>
      <c r="N208" s="163"/>
      <c r="O208" s="208">
        <f t="shared" si="22"/>
        <v>1</v>
      </c>
    </row>
    <row r="209" spans="4:15" x14ac:dyDescent="0.2">
      <c r="D209" s="86">
        <v>44063</v>
      </c>
      <c r="E209" s="64">
        <f t="shared" si="21"/>
        <v>349</v>
      </c>
      <c r="F209" s="101">
        <v>349</v>
      </c>
      <c r="G209" s="140"/>
      <c r="H209" s="64">
        <f>E209/'Erkrankungs- und Strukturdaten'!$C$7</f>
        <v>634.5454545454545</v>
      </c>
      <c r="I209" s="64">
        <f t="shared" si="24"/>
        <v>39531</v>
      </c>
      <c r="J209" s="64">
        <f t="shared" si="23"/>
        <v>0</v>
      </c>
      <c r="K209" s="101">
        <f>IFERROR(IF(D209=_Datum,Prognoseparameter!$C$14,
IF(_WachstumsrateKURZ="Bundesweit",IF(D209&gt;_Datum,
         K208+AVERAGE(F205:F208)*(1+_WR)*(1-(K208-VLOOKUP('Erkrankungs- und Strukturdaten'!$C$45,$D:$M,$K$1,FALSE))/$B$16),
         K210-$B$23*F210),
IF(D209&gt;_Datum,K208+G209,IF(G210="",K210/(K210^(1/N209)),K210-G210)))),"")</f>
        <v>0</v>
      </c>
      <c r="L209" s="64">
        <f>I209/'Erkrankungs- und Strukturdaten'!$C$7</f>
        <v>71874.545454545456</v>
      </c>
      <c r="M209" s="65">
        <f t="shared" si="25"/>
        <v>8.9071512429176655E-3</v>
      </c>
      <c r="N209" s="163"/>
      <c r="O209" s="208">
        <f t="shared" si="22"/>
        <v>1</v>
      </c>
    </row>
    <row r="210" spans="4:15" x14ac:dyDescent="0.2">
      <c r="D210" s="86">
        <v>44064</v>
      </c>
      <c r="E210" s="64">
        <f t="shared" si="21"/>
        <v>314</v>
      </c>
      <c r="F210" s="101">
        <v>314</v>
      </c>
      <c r="G210" s="140"/>
      <c r="H210" s="64">
        <f>E210/'Erkrankungs- und Strukturdaten'!$C$7</f>
        <v>570.90909090909088</v>
      </c>
      <c r="I210" s="64">
        <f t="shared" si="24"/>
        <v>39845</v>
      </c>
      <c r="J210" s="64">
        <f t="shared" si="23"/>
        <v>0</v>
      </c>
      <c r="K210" s="101">
        <f>IFERROR(IF(D210=_Datum,Prognoseparameter!$C$14,
IF(_WachstumsrateKURZ="Bundesweit",IF(D210&gt;_Datum,
         K209+AVERAGE(F206:F209)*(1+_WR)*(1-(K209-VLOOKUP('Erkrankungs- und Strukturdaten'!$C$45,$D:$M,$K$1,FALSE))/$B$16),
         K211-$B$23*F211),
IF(D210&gt;_Datum,K209+G210,IF(G211="",K211/(K211^(1/N210)),K211-G211)))),"")</f>
        <v>0</v>
      </c>
      <c r="L210" s="64">
        <f>I210/'Erkrankungs- und Strukturdaten'!$C$7</f>
        <v>72445.454545454544</v>
      </c>
      <c r="M210" s="65">
        <f t="shared" si="25"/>
        <v>7.943133237206244E-3</v>
      </c>
      <c r="N210" s="163"/>
      <c r="O210" s="208">
        <f t="shared" si="22"/>
        <v>1</v>
      </c>
    </row>
    <row r="211" spans="4:15" x14ac:dyDescent="0.2">
      <c r="D211" s="86">
        <v>44065</v>
      </c>
      <c r="E211" s="64">
        <f t="shared" si="21"/>
        <v>192</v>
      </c>
      <c r="F211" s="101">
        <v>192</v>
      </c>
      <c r="G211" s="140"/>
      <c r="H211" s="64">
        <f>E211/'Erkrankungs- und Strukturdaten'!$C$7</f>
        <v>349.09090909090907</v>
      </c>
      <c r="I211" s="64">
        <f t="shared" si="24"/>
        <v>40037</v>
      </c>
      <c r="J211" s="64">
        <f t="shared" si="23"/>
        <v>0</v>
      </c>
      <c r="K211" s="101">
        <f>IFERROR(IF(D211=_Datum,Prognoseparameter!$C$14,
IF(_WachstumsrateKURZ="Bundesweit",IF(D211&gt;_Datum,
         K210+AVERAGE(F207:F210)*(1+_WR)*(1-(K210-VLOOKUP('Erkrankungs- und Strukturdaten'!$C$45,$D:$M,$K$1,FALSE))/$B$16),
         K212-$B$23*F212),
IF(D211&gt;_Datum,K210+G211,IF(G212="",K212/(K212^(1/N211)),K212-G212)))),"")</f>
        <v>0</v>
      </c>
      <c r="L211" s="64">
        <f>I211/'Erkrankungs- und Strukturdaten'!$C$7</f>
        <v>72794.545454545456</v>
      </c>
      <c r="M211" s="65">
        <f t="shared" si="25"/>
        <v>4.8186723553770858E-3</v>
      </c>
      <c r="N211" s="163"/>
      <c r="O211" s="208">
        <f t="shared" si="22"/>
        <v>1</v>
      </c>
    </row>
    <row r="212" spans="4:15" x14ac:dyDescent="0.2">
      <c r="D212" s="86">
        <v>44066</v>
      </c>
      <c r="E212" s="64">
        <f t="shared" si="21"/>
        <v>136</v>
      </c>
      <c r="F212" s="101">
        <v>136</v>
      </c>
      <c r="G212" s="140"/>
      <c r="H212" s="64">
        <f>E212/'Erkrankungs- und Strukturdaten'!$C$7</f>
        <v>247.27272727272725</v>
      </c>
      <c r="I212" s="64">
        <f t="shared" si="24"/>
        <v>40173</v>
      </c>
      <c r="J212" s="64">
        <f t="shared" si="23"/>
        <v>0</v>
      </c>
      <c r="K212" s="101">
        <f>IFERROR(IF(D212=_Datum,Prognoseparameter!$C$14,
IF(_WachstumsrateKURZ="Bundesweit",IF(D212&gt;_Datum,
         K211+AVERAGE(F208:F211)*(1+_WR)*(1-(K211-VLOOKUP('Erkrankungs- und Strukturdaten'!$C$45,$D:$M,$K$1,FALSE))/$B$16),
         K213-$B$23*F213),
IF(D212&gt;_Datum,K211+G212,IF(G213="",K213/(K213^(1/N212)),K213-G213)))),"")</f>
        <v>0</v>
      </c>
      <c r="L212" s="64">
        <f>I212/'Erkrankungs- und Strukturdaten'!$C$7</f>
        <v>73041.818181818177</v>
      </c>
      <c r="M212" s="65">
        <f t="shared" si="25"/>
        <v>3.3968579064365461E-3</v>
      </c>
      <c r="N212" s="163"/>
      <c r="O212" s="208">
        <f t="shared" si="22"/>
        <v>1</v>
      </c>
    </row>
    <row r="213" spans="4:15" x14ac:dyDescent="0.2">
      <c r="D213" s="86">
        <v>44067</v>
      </c>
      <c r="E213" s="64">
        <f t="shared" si="21"/>
        <v>304</v>
      </c>
      <c r="F213" s="101">
        <v>304</v>
      </c>
      <c r="G213" s="140"/>
      <c r="H213" s="64">
        <f>E213/'Erkrankungs- und Strukturdaten'!$C$7</f>
        <v>552.72727272727263</v>
      </c>
      <c r="I213" s="64">
        <f t="shared" si="24"/>
        <v>40477</v>
      </c>
      <c r="J213" s="64">
        <f t="shared" si="23"/>
        <v>0</v>
      </c>
      <c r="K213" s="101">
        <f>IFERROR(IF(D213=_Datum,Prognoseparameter!$C$14,
IF(_WachstumsrateKURZ="Bundesweit",IF(D213&gt;_Datum,
         K212+AVERAGE(F209:F212)*(1+_WR)*(1-(K212-VLOOKUP('Erkrankungs- und Strukturdaten'!$C$45,$D:$M,$K$1,FALSE))/$B$16),
         K214-$B$23*F214),
IF(D213&gt;_Datum,K212+G213,IF(G214="",K214/(K214^(1/N213)),K214-G214)))),"")</f>
        <v>0</v>
      </c>
      <c r="L213" s="64">
        <f>I213/'Erkrankungs- und Strukturdaten'!$C$7</f>
        <v>73594.545454545456</v>
      </c>
      <c r="M213" s="65">
        <f t="shared" si="25"/>
        <v>7.5672715505438973E-3</v>
      </c>
      <c r="N213" s="163"/>
      <c r="O213" s="208">
        <f t="shared" si="22"/>
        <v>1</v>
      </c>
    </row>
    <row r="214" spans="4:15" x14ac:dyDescent="0.2">
      <c r="D214" s="86">
        <v>44068</v>
      </c>
      <c r="E214" s="64">
        <f t="shared" si="21"/>
        <v>338</v>
      </c>
      <c r="F214" s="101">
        <v>338</v>
      </c>
      <c r="G214" s="140"/>
      <c r="H214" s="64">
        <f>E214/'Erkrankungs- und Strukturdaten'!$C$7</f>
        <v>614.5454545454545</v>
      </c>
      <c r="I214" s="64">
        <f t="shared" si="24"/>
        <v>40815</v>
      </c>
      <c r="J214" s="64">
        <f t="shared" si="23"/>
        <v>0</v>
      </c>
      <c r="K214" s="101">
        <f>IFERROR(IF(D214=_Datum,Prognoseparameter!$C$14,
IF(_WachstumsrateKURZ="Bundesweit",IF(D214&gt;_Datum,
         K213+AVERAGE(F210:F213)*(1+_WR)*(1-(K213-VLOOKUP('Erkrankungs- und Strukturdaten'!$C$45,$D:$M,$K$1,FALSE))/$B$16),
         K215-$B$23*F215),
IF(D214&gt;_Datum,K213+G214,IF(G215="",K215/(K215^(1/N214)),K215-G215)))),"")</f>
        <v>0</v>
      </c>
      <c r="L214" s="64">
        <f>I214/'Erkrankungs- und Strukturdaten'!$C$7</f>
        <v>74209.090909090897</v>
      </c>
      <c r="M214" s="65">
        <f t="shared" si="25"/>
        <v>8.3504212268695806E-3</v>
      </c>
      <c r="N214" s="163"/>
      <c r="O214" s="208">
        <f t="shared" si="22"/>
        <v>1</v>
      </c>
    </row>
    <row r="215" spans="4:15" x14ac:dyDescent="0.2">
      <c r="D215" s="86">
        <v>44069</v>
      </c>
      <c r="E215" s="64">
        <f t="shared" si="21"/>
        <v>362</v>
      </c>
      <c r="F215" s="101">
        <v>362</v>
      </c>
      <c r="G215" s="140"/>
      <c r="H215" s="64">
        <f>E215/'Erkrankungs- und Strukturdaten'!$C$7</f>
        <v>658.18181818181813</v>
      </c>
      <c r="I215" s="64">
        <f t="shared" si="24"/>
        <v>41177</v>
      </c>
      <c r="J215" s="64">
        <f t="shared" si="23"/>
        <v>0</v>
      </c>
      <c r="K215" s="101">
        <f>IFERROR(IF(D215=_Datum,Prognoseparameter!$C$14,
IF(_WachstumsrateKURZ="Bundesweit",IF(D215&gt;_Datum,
         K214+AVERAGE(F211:F214)*(1+_WR)*(1-(K214-VLOOKUP('Erkrankungs- und Strukturdaten'!$C$45,$D:$M,$K$1,FALSE))/$B$16),
         K216-$B$23*F216),
IF(D215&gt;_Datum,K214+G215,IF(G216="",K216/(K216^(1/N215)),K216-G216)))),"")</f>
        <v>0</v>
      </c>
      <c r="L215" s="64">
        <f>I215/'Erkrankungs- und Strukturdaten'!$C$7</f>
        <v>74867.272727272721</v>
      </c>
      <c r="M215" s="65">
        <f t="shared" si="25"/>
        <v>8.8692882518681855E-3</v>
      </c>
      <c r="N215" s="163"/>
      <c r="O215" s="208">
        <f t="shared" si="22"/>
        <v>1</v>
      </c>
    </row>
    <row r="216" spans="4:15" x14ac:dyDescent="0.2">
      <c r="D216" s="86">
        <v>44070</v>
      </c>
      <c r="E216" s="64">
        <f t="shared" si="21"/>
        <v>352</v>
      </c>
      <c r="F216" s="101">
        <v>352</v>
      </c>
      <c r="G216" s="140"/>
      <c r="H216" s="64">
        <f>E216/'Erkrankungs- und Strukturdaten'!$C$7</f>
        <v>640</v>
      </c>
      <c r="I216" s="64">
        <f t="shared" si="24"/>
        <v>41529</v>
      </c>
      <c r="J216" s="64">
        <f t="shared" si="23"/>
        <v>0</v>
      </c>
      <c r="K216" s="101">
        <f>IFERROR(IF(D216=_Datum,Prognoseparameter!$C$14,
IF(_WachstumsrateKURZ="Bundesweit",IF(D216&gt;_Datum,
         K215+AVERAGE(F212:F215)*(1+_WR)*(1-(K215-VLOOKUP('Erkrankungs- und Strukturdaten'!$C$45,$D:$M,$K$1,FALSE))/$B$16),
         K217-$B$23*F217),
IF(D216&gt;_Datum,K215+G216,IF(G217="",K217/(K217^(1/N216)),K217-G217)))),"")</f>
        <v>0</v>
      </c>
      <c r="L216" s="64">
        <f>I216/'Erkrankungs- und Strukturdaten'!$C$7</f>
        <v>75507.272727272721</v>
      </c>
      <c r="M216" s="65">
        <f t="shared" si="25"/>
        <v>8.5484615197804602E-3</v>
      </c>
      <c r="N216" s="163"/>
      <c r="O216" s="208">
        <f t="shared" si="22"/>
        <v>1</v>
      </c>
    </row>
    <row r="217" spans="4:15" x14ac:dyDescent="0.2">
      <c r="D217" s="86">
        <v>44071</v>
      </c>
      <c r="E217" s="64">
        <f t="shared" si="21"/>
        <v>377</v>
      </c>
      <c r="F217" s="101">
        <v>377</v>
      </c>
      <c r="G217" s="140"/>
      <c r="H217" s="64">
        <f>E217/'Erkrankungs- und Strukturdaten'!$C$7</f>
        <v>685.45454545454538</v>
      </c>
      <c r="I217" s="64">
        <f t="shared" si="24"/>
        <v>41906</v>
      </c>
      <c r="J217" s="64">
        <f t="shared" si="23"/>
        <v>0</v>
      </c>
      <c r="K217" s="101">
        <f>IFERROR(IF(D217=_Datum,Prognoseparameter!$C$14,
IF(_WachstumsrateKURZ="Bundesweit",IF(D217&gt;_Datum,
         K216+AVERAGE(F213:F216)*(1+_WR)*(1-(K216-VLOOKUP('Erkrankungs- und Strukturdaten'!$C$45,$D:$M,$K$1,FALSE))/$B$16),
         K218-$B$23*F218),
IF(D217&gt;_Datum,K216+G217,IF(G218="",K218/(K218^(1/N217)),K218-G218)))),"")</f>
        <v>0</v>
      </c>
      <c r="L217" s="64">
        <f>I217/'Erkrankungs- und Strukturdaten'!$C$7</f>
        <v>76192.727272727265</v>
      </c>
      <c r="M217" s="65">
        <f t="shared" si="25"/>
        <v>9.0779936911555784E-3</v>
      </c>
      <c r="N217" s="163"/>
      <c r="O217" s="208">
        <f t="shared" si="22"/>
        <v>1</v>
      </c>
    </row>
    <row r="218" spans="4:15" x14ac:dyDescent="0.2">
      <c r="D218" s="86">
        <v>44072</v>
      </c>
      <c r="E218" s="64">
        <f t="shared" si="21"/>
        <v>215</v>
      </c>
      <c r="F218" s="101">
        <v>215</v>
      </c>
      <c r="G218" s="140"/>
      <c r="H218" s="64">
        <f>E218/'Erkrankungs- und Strukturdaten'!$C$7</f>
        <v>390.90909090909088</v>
      </c>
      <c r="I218" s="64">
        <f t="shared" si="24"/>
        <v>42121</v>
      </c>
      <c r="J218" s="64">
        <f t="shared" si="23"/>
        <v>0</v>
      </c>
      <c r="K218" s="101">
        <f>IFERROR(IF(D218=_Datum,Prognoseparameter!$C$14,
IF(_WachstumsrateKURZ="Bundesweit",IF(D218&gt;_Datum,
         K217+AVERAGE(F214:F217)*(1+_WR)*(1-(K217-VLOOKUP('Erkrankungs- und Strukturdaten'!$C$45,$D:$M,$K$1,FALSE))/$B$16),
         K219-$B$23*F219),
IF(D218&gt;_Datum,K217+G218,IF(G219="",K219/(K219^(1/N218)),K219-G219)))),"")</f>
        <v>0</v>
      </c>
      <c r="L218" s="64">
        <f>I218/'Erkrankungs- und Strukturdaten'!$C$7</f>
        <v>76583.636363636353</v>
      </c>
      <c r="M218" s="65">
        <f t="shared" si="25"/>
        <v>5.1305302343339857E-3</v>
      </c>
      <c r="N218" s="163"/>
      <c r="O218" s="208">
        <f t="shared" si="22"/>
        <v>1</v>
      </c>
    </row>
    <row r="219" spans="4:15" x14ac:dyDescent="0.2">
      <c r="D219" s="86">
        <v>44073</v>
      </c>
      <c r="E219" s="64">
        <f t="shared" si="21"/>
        <v>144</v>
      </c>
      <c r="F219" s="101">
        <v>144</v>
      </c>
      <c r="G219" s="140"/>
      <c r="H219" s="64">
        <f>E219/'Erkrankungs- und Strukturdaten'!$C$7</f>
        <v>261.81818181818181</v>
      </c>
      <c r="I219" s="64">
        <f t="shared" si="24"/>
        <v>42265</v>
      </c>
      <c r="J219" s="64">
        <f t="shared" si="23"/>
        <v>0</v>
      </c>
      <c r="K219" s="101">
        <f>IFERROR(IF(D219=_Datum,Prognoseparameter!$C$14,
IF(_WachstumsrateKURZ="Bundesweit",IF(D219&gt;_Datum,
         K218+AVERAGE(F215:F218)*(1+_WR)*(1-(K218-VLOOKUP('Erkrankungs- und Strukturdaten'!$C$45,$D:$M,$K$1,FALSE))/$B$16),
         K220-$B$23*F220),
IF(D219&gt;_Datum,K218+G219,IF(G220="",K220/(K220^(1/N219)),K220-G220)))),"")</f>
        <v>0</v>
      </c>
      <c r="L219" s="64">
        <f>I219/'Erkrankungs- und Strukturdaten'!$C$7</f>
        <v>76845.454545454544</v>
      </c>
      <c r="M219" s="65">
        <f t="shared" si="25"/>
        <v>3.4187222525581063E-3</v>
      </c>
      <c r="N219" s="163"/>
      <c r="O219" s="208">
        <f t="shared" si="22"/>
        <v>1</v>
      </c>
    </row>
    <row r="220" spans="4:15" x14ac:dyDescent="0.2">
      <c r="D220" s="86">
        <v>44074</v>
      </c>
      <c r="E220" s="64">
        <f t="shared" si="21"/>
        <v>347</v>
      </c>
      <c r="F220" s="101">
        <v>347</v>
      </c>
      <c r="G220" s="140"/>
      <c r="H220" s="64">
        <f>E220/'Erkrankungs- und Strukturdaten'!$C$7</f>
        <v>630.90909090909088</v>
      </c>
      <c r="I220" s="64">
        <f t="shared" si="24"/>
        <v>42612</v>
      </c>
      <c r="J220" s="64">
        <f t="shared" si="23"/>
        <v>0</v>
      </c>
      <c r="K220" s="101">
        <f>IFERROR(IF(D220=_Datum,Prognoseparameter!$C$14,
IF(_WachstumsrateKURZ="Bundesweit",IF(D220&gt;_Datum,
         K219+AVERAGE(F216:F219)*(1+_WR)*(1-(K219-VLOOKUP('Erkrankungs- und Strukturdaten'!$C$45,$D:$M,$K$1,FALSE))/$B$16),
         K221-$B$23*F221),
IF(D220&gt;_Datum,K219+G220,IF(G221="",K221/(K221^(1/N220)),K221-G221)))),"")</f>
        <v>0</v>
      </c>
      <c r="L220" s="64">
        <f>I220/'Erkrankungs- und Strukturdaten'!$C$7</f>
        <v>77476.363636363632</v>
      </c>
      <c r="M220" s="65">
        <f t="shared" si="25"/>
        <v>8.2101029220395128E-3</v>
      </c>
      <c r="N220" s="163"/>
      <c r="O220" s="208">
        <f t="shared" si="22"/>
        <v>1</v>
      </c>
    </row>
    <row r="221" spans="4:15" x14ac:dyDescent="0.2">
      <c r="D221" s="86">
        <v>44075</v>
      </c>
      <c r="E221" s="64">
        <f t="shared" si="21"/>
        <v>364</v>
      </c>
      <c r="F221" s="101">
        <v>364</v>
      </c>
      <c r="G221" s="140"/>
      <c r="H221" s="64">
        <f>E221/'Erkrankungs- und Strukturdaten'!$C$7</f>
        <v>661.81818181818176</v>
      </c>
      <c r="I221" s="64">
        <f t="shared" si="24"/>
        <v>42976</v>
      </c>
      <c r="J221" s="64">
        <f t="shared" ref="J221:J284" si="26">J220+G221</f>
        <v>0</v>
      </c>
      <c r="K221" s="101">
        <f>IFERROR(IF(D221=_Datum,Prognoseparameter!$C$14,
IF(_WachstumsrateKURZ="Bundesweit",IF(D221&gt;_Datum,
         K220+AVERAGE(F217:F220)*(1+_WR)*(1-(K220-VLOOKUP('Erkrankungs- und Strukturdaten'!$C$45,$D:$M,$K$1,FALSE))/$B$16),
         K222-$B$23*F222),
IF(D221&gt;_Datum,K220+G221,IF(G222="",K222/(K222^(1/N221)),K222-G222)))),"")</f>
        <v>0</v>
      </c>
      <c r="L221" s="64">
        <f>I221/'Erkrankungs- und Strukturdaten'!$C$7</f>
        <v>78138.181818181809</v>
      </c>
      <c r="M221" s="65">
        <f t="shared" ref="M221:M284" si="27">IFERROR((I221-I220)/I220,0)</f>
        <v>8.5421946869426446E-3</v>
      </c>
      <c r="N221" s="223"/>
      <c r="O221" s="221">
        <f t="shared" ref="O221:O284" si="28">IF(F221=ROUNDDOWN(F221,0),1,0)</f>
        <v>1</v>
      </c>
    </row>
    <row r="222" spans="4:15" x14ac:dyDescent="0.2">
      <c r="D222" s="86">
        <v>44076</v>
      </c>
      <c r="E222" s="64">
        <f t="shared" si="21"/>
        <v>417</v>
      </c>
      <c r="F222" s="101">
        <v>417</v>
      </c>
      <c r="G222" s="140"/>
      <c r="H222" s="64">
        <f>E222/'Erkrankungs- und Strukturdaten'!$C$7</f>
        <v>758.18181818181813</v>
      </c>
      <c r="I222" s="64">
        <f t="shared" si="24"/>
        <v>43393</v>
      </c>
      <c r="J222" s="64">
        <f t="shared" si="26"/>
        <v>0</v>
      </c>
      <c r="K222" s="101">
        <f>IFERROR(IF(D222=_Datum,Prognoseparameter!$C$14,
IF(_WachstumsrateKURZ="Bundesweit",IF(D222&gt;_Datum,
         K221+AVERAGE(F218:F221)*(1+_WR)*(1-(K221-VLOOKUP('Erkrankungs- und Strukturdaten'!$C$45,$D:$M,$K$1,FALSE))/$B$16),
         K223-$B$23*F223),
IF(D222&gt;_Datum,K221+G222,IF(G223="",K223/(K223^(1/N222)),K223-G223)))),"")</f>
        <v>0</v>
      </c>
      <c r="L222" s="64">
        <f>I222/'Erkrankungs- und Strukturdaten'!$C$7</f>
        <v>78896.363636363632</v>
      </c>
      <c r="M222" s="65">
        <f t="shared" si="27"/>
        <v>9.7030900967982128E-3</v>
      </c>
      <c r="N222" s="223"/>
      <c r="O222" s="221">
        <f t="shared" si="28"/>
        <v>1</v>
      </c>
    </row>
    <row r="223" spans="4:15" x14ac:dyDescent="0.2">
      <c r="D223" s="86">
        <v>44077</v>
      </c>
      <c r="E223" s="64">
        <f t="shared" si="21"/>
        <v>438</v>
      </c>
      <c r="F223" s="101">
        <v>438</v>
      </c>
      <c r="G223" s="140"/>
      <c r="H223" s="64">
        <f>E223/'Erkrankungs- und Strukturdaten'!$C$7</f>
        <v>796.36363636363626</v>
      </c>
      <c r="I223" s="64">
        <f t="shared" si="24"/>
        <v>43831</v>
      </c>
      <c r="J223" s="64">
        <f t="shared" si="26"/>
        <v>0</v>
      </c>
      <c r="K223" s="101">
        <f>IFERROR(IF(D223=_Datum,Prognoseparameter!$C$14,
IF(_WachstumsrateKURZ="Bundesweit",IF(D223&gt;_Datum,
         K222+AVERAGE(F219:F222)*(1+_WR)*(1-(K222-VLOOKUP('Erkrankungs- und Strukturdaten'!$C$45,$D:$M,$K$1,FALSE))/$B$16),
         K224-$B$23*F224),
IF(D223&gt;_Datum,K222+G223,IF(G224="",K224/(K224^(1/N223)),K224-G224)))),"")</f>
        <v>0</v>
      </c>
      <c r="L223" s="64">
        <f>I223/'Erkrankungs- und Strukturdaten'!$C$7</f>
        <v>79692.727272727265</v>
      </c>
      <c r="M223" s="65">
        <f t="shared" si="27"/>
        <v>1.0093793929896526E-2</v>
      </c>
      <c r="N223" s="223"/>
      <c r="O223" s="221">
        <f t="shared" si="28"/>
        <v>1</v>
      </c>
    </row>
    <row r="224" spans="4:15" x14ac:dyDescent="0.2">
      <c r="D224" s="86">
        <v>44078</v>
      </c>
      <c r="E224" s="64">
        <f t="shared" si="21"/>
        <v>426</v>
      </c>
      <c r="F224" s="101">
        <v>426</v>
      </c>
      <c r="G224" s="140"/>
      <c r="H224" s="64">
        <f>E224/'Erkrankungs- und Strukturdaten'!$C$7</f>
        <v>774.5454545454545</v>
      </c>
      <c r="I224" s="64">
        <f t="shared" si="24"/>
        <v>44257</v>
      </c>
      <c r="J224" s="64">
        <f t="shared" si="26"/>
        <v>0</v>
      </c>
      <c r="K224" s="101">
        <f>IFERROR(IF(D224=_Datum,Prognoseparameter!$C$14,
IF(_WachstumsrateKURZ="Bundesweit",IF(D224&gt;_Datum,
         K223+AVERAGE(F220:F223)*(1+_WR)*(1-(K223-VLOOKUP('Erkrankungs- und Strukturdaten'!$C$45,$D:$M,$K$1,FALSE))/$B$16),
         K225-$B$23*F225),
IF(D224&gt;_Datum,K223+G224,IF(G225="",K225/(K225^(1/N224)),K225-G225)))),"")</f>
        <v>0</v>
      </c>
      <c r="L224" s="64">
        <f>I224/'Erkrankungs- und Strukturdaten'!$C$7</f>
        <v>80467.272727272721</v>
      </c>
      <c r="M224" s="65">
        <f t="shared" si="27"/>
        <v>9.7191485478314438E-3</v>
      </c>
      <c r="N224" s="223"/>
      <c r="O224" s="221">
        <f t="shared" si="28"/>
        <v>1</v>
      </c>
    </row>
    <row r="225" spans="4:15" x14ac:dyDescent="0.2">
      <c r="D225" s="86">
        <v>44079</v>
      </c>
      <c r="E225" s="64">
        <f t="shared" si="21"/>
        <v>294</v>
      </c>
      <c r="F225" s="101">
        <v>294</v>
      </c>
      <c r="G225" s="140"/>
      <c r="H225" s="64">
        <f>E225/'Erkrankungs- und Strukturdaten'!$C$7</f>
        <v>534.5454545454545</v>
      </c>
      <c r="I225" s="64">
        <f t="shared" si="24"/>
        <v>44551</v>
      </c>
      <c r="J225" s="64">
        <f t="shared" si="26"/>
        <v>0</v>
      </c>
      <c r="K225" s="101">
        <f>IFERROR(IF(D225=_Datum,Prognoseparameter!$C$14,
IF(_WachstumsrateKURZ="Bundesweit",IF(D225&gt;_Datum,
         K224+AVERAGE(F221:F224)*(1+_WR)*(1-(K224-VLOOKUP('Erkrankungs- und Strukturdaten'!$C$45,$D:$M,$K$1,FALSE))/$B$16),
         K226-$B$23*F226),
IF(D225&gt;_Datum,K224+G225,IF(G226="",K226/(K226^(1/N225)),K226-G226)))),"")</f>
        <v>0</v>
      </c>
      <c r="L225" s="64">
        <f>I225/'Erkrankungs- und Strukturdaten'!$C$7</f>
        <v>81001.818181818177</v>
      </c>
      <c r="M225" s="65">
        <f t="shared" si="27"/>
        <v>6.6430169238764492E-3</v>
      </c>
      <c r="N225" s="223"/>
      <c r="O225" s="221">
        <f t="shared" si="28"/>
        <v>1</v>
      </c>
    </row>
    <row r="226" spans="4:15" x14ac:dyDescent="0.2">
      <c r="D226" s="86">
        <v>44080</v>
      </c>
      <c r="E226" s="64">
        <f t="shared" si="21"/>
        <v>170</v>
      </c>
      <c r="F226" s="101">
        <v>170</v>
      </c>
      <c r="G226" s="140"/>
      <c r="H226" s="64">
        <f>E226/'Erkrankungs- und Strukturdaten'!$C$7</f>
        <v>309.09090909090907</v>
      </c>
      <c r="I226" s="64">
        <f t="shared" si="24"/>
        <v>44721</v>
      </c>
      <c r="J226" s="64">
        <f t="shared" si="26"/>
        <v>0</v>
      </c>
      <c r="K226" s="101">
        <f>IFERROR(IF(D226=_Datum,Prognoseparameter!$C$14,
IF(_WachstumsrateKURZ="Bundesweit",IF(D226&gt;_Datum,
         K225+AVERAGE(F222:F225)*(1+_WR)*(1-(K225-VLOOKUP('Erkrankungs- und Strukturdaten'!$C$45,$D:$M,$K$1,FALSE))/$B$16),
         K227-$B$23*F227),
IF(D226&gt;_Datum,K225+G226,IF(G227="",K227/(K227^(1/N226)),K227-G227)))),"")</f>
        <v>0</v>
      </c>
      <c r="L226" s="64">
        <f>I226/'Erkrankungs- und Strukturdaten'!$C$7</f>
        <v>81310.909090909088</v>
      </c>
      <c r="M226" s="65">
        <f t="shared" si="27"/>
        <v>3.8158514960382481E-3</v>
      </c>
      <c r="N226" s="223"/>
      <c r="O226" s="221">
        <f t="shared" si="28"/>
        <v>1</v>
      </c>
    </row>
    <row r="227" spans="4:15" x14ac:dyDescent="0.2">
      <c r="D227" s="86">
        <v>44081</v>
      </c>
      <c r="E227" s="64">
        <f t="shared" si="21"/>
        <v>467</v>
      </c>
      <c r="F227" s="101">
        <v>467</v>
      </c>
      <c r="G227" s="140"/>
      <c r="H227" s="64">
        <f>E227/'Erkrankungs- und Strukturdaten'!$C$7</f>
        <v>849.09090909090901</v>
      </c>
      <c r="I227" s="64">
        <f t="shared" si="24"/>
        <v>45188</v>
      </c>
      <c r="J227" s="64">
        <f t="shared" si="26"/>
        <v>0</v>
      </c>
      <c r="K227" s="101">
        <f>IFERROR(IF(D227=_Datum,Prognoseparameter!$C$14,
IF(_WachstumsrateKURZ="Bundesweit",IF(D227&gt;_Datum,
         K226+AVERAGE(F223:F226)*(1+_WR)*(1-(K226-VLOOKUP('Erkrankungs- und Strukturdaten'!$C$45,$D:$M,$K$1,FALSE))/$B$16),
         K228-$B$23*F228),
IF(D227&gt;_Datum,K226+G227,IF(G228="",K228/(K228^(1/N227)),K228-G228)))),"")</f>
        <v>0</v>
      </c>
      <c r="L227" s="64">
        <f>I227/'Erkrankungs- und Strukturdaten'!$C$7</f>
        <v>82160</v>
      </c>
      <c r="M227" s="65">
        <f t="shared" si="27"/>
        <v>1.044252141052302E-2</v>
      </c>
      <c r="N227" s="223"/>
      <c r="O227" s="221">
        <f t="shared" si="28"/>
        <v>1</v>
      </c>
    </row>
    <row r="228" spans="4:15" x14ac:dyDescent="0.2">
      <c r="D228" s="86">
        <v>44082</v>
      </c>
      <c r="E228" s="64">
        <f t="shared" si="21"/>
        <v>387</v>
      </c>
      <c r="F228" s="101">
        <v>387</v>
      </c>
      <c r="G228" s="140"/>
      <c r="H228" s="64">
        <f>E228/'Erkrankungs- und Strukturdaten'!$C$7</f>
        <v>703.63636363636363</v>
      </c>
      <c r="I228" s="64">
        <f t="shared" si="24"/>
        <v>45575</v>
      </c>
      <c r="J228" s="64">
        <f t="shared" si="26"/>
        <v>0</v>
      </c>
      <c r="K228" s="101">
        <f>IFERROR(IF(D228=_Datum,Prognoseparameter!$C$14,
IF(_WachstumsrateKURZ="Bundesweit",IF(D228&gt;_Datum,
         K227+AVERAGE(F224:F227)*(1+_WR)*(1-(K227-VLOOKUP('Erkrankungs- und Strukturdaten'!$C$45,$D:$M,$K$1,FALSE))/$B$16),
         K229-$B$23*F229),
IF(D228&gt;_Datum,K227+G228,IF(G229="",K229/(K229^(1/N228)),K229-G229)))),"")</f>
        <v>0</v>
      </c>
      <c r="L228" s="64">
        <f>I228/'Erkrankungs- und Strukturdaten'!$C$7</f>
        <v>82863.636363636353</v>
      </c>
      <c r="M228" s="65">
        <f t="shared" si="27"/>
        <v>8.564220589537045E-3</v>
      </c>
      <c r="N228" s="223"/>
      <c r="O228" s="221">
        <f t="shared" si="28"/>
        <v>1</v>
      </c>
    </row>
    <row r="229" spans="4:15" x14ac:dyDescent="0.2">
      <c r="D229" s="86">
        <v>44083</v>
      </c>
      <c r="E229" s="64">
        <f t="shared" si="21"/>
        <v>462</v>
      </c>
      <c r="F229" s="101">
        <v>462</v>
      </c>
      <c r="G229" s="140"/>
      <c r="H229" s="64">
        <f>E229/'Erkrankungs- und Strukturdaten'!$C$7</f>
        <v>839.99999999999989</v>
      </c>
      <c r="I229" s="64">
        <f t="shared" si="24"/>
        <v>46037</v>
      </c>
      <c r="J229" s="64">
        <f t="shared" si="26"/>
        <v>0</v>
      </c>
      <c r="K229" s="101">
        <f>IFERROR(IF(D229=_Datum,Prognoseparameter!$C$14,
IF(_WachstumsrateKURZ="Bundesweit",IF(D229&gt;_Datum,
         K228+AVERAGE(F225:F228)*(1+_WR)*(1-(K228-VLOOKUP('Erkrankungs- und Strukturdaten'!$C$45,$D:$M,$K$1,FALSE))/$B$16),
         K230-$B$23*F230),
IF(D229&gt;_Datum,K228+G229,IF(G230="",K230/(K230^(1/N229)),K230-G230)))),"")</f>
        <v>0</v>
      </c>
      <c r="L229" s="64">
        <f>I229/'Erkrankungs- und Strukturdaten'!$C$7</f>
        <v>83703.636363636353</v>
      </c>
      <c r="M229" s="65">
        <f t="shared" si="27"/>
        <v>1.013713658804169E-2</v>
      </c>
      <c r="N229" s="223"/>
      <c r="O229" s="221">
        <f t="shared" si="28"/>
        <v>1</v>
      </c>
    </row>
    <row r="230" spans="4:15" x14ac:dyDescent="0.2">
      <c r="D230" s="86">
        <v>44084</v>
      </c>
      <c r="E230" s="64">
        <f t="shared" si="21"/>
        <v>507</v>
      </c>
      <c r="F230" s="101">
        <v>507</v>
      </c>
      <c r="G230" s="140"/>
      <c r="H230" s="64">
        <f>E230/'Erkrankungs- und Strukturdaten'!$C$7</f>
        <v>921.81818181818176</v>
      </c>
      <c r="I230" s="64">
        <f t="shared" si="24"/>
        <v>46544</v>
      </c>
      <c r="J230" s="64">
        <f t="shared" si="26"/>
        <v>0</v>
      </c>
      <c r="K230" s="101">
        <f>IFERROR(IF(D230=_Datum,Prognoseparameter!$C$14,
IF(_WachstumsrateKURZ="Bundesweit",IF(D230&gt;_Datum,
         K229+AVERAGE(F226:F229)*(1+_WR)*(1-(K229-VLOOKUP('Erkrankungs- und Strukturdaten'!$C$45,$D:$M,$K$1,FALSE))/$B$16),
         K231-$B$23*F231),
IF(D230&gt;_Datum,K229+G230,IF(G231="",K231/(K231^(1/N230)),K231-G231)))),"")</f>
        <v>0</v>
      </c>
      <c r="L230" s="64">
        <f>I230/'Erkrankungs- und Strukturdaten'!$C$7</f>
        <v>84625.454545454544</v>
      </c>
      <c r="M230" s="65">
        <f t="shared" si="27"/>
        <v>1.1012880943588852E-2</v>
      </c>
      <c r="N230" s="223"/>
      <c r="O230" s="221">
        <f t="shared" si="28"/>
        <v>1</v>
      </c>
    </row>
    <row r="231" spans="4:15" x14ac:dyDescent="0.2">
      <c r="D231" s="86">
        <v>44085</v>
      </c>
      <c r="E231" s="64">
        <f t="shared" si="21"/>
        <v>533</v>
      </c>
      <c r="F231" s="101">
        <v>533</v>
      </c>
      <c r="G231" s="140"/>
      <c r="H231" s="64">
        <f>E231/'Erkrankungs- und Strukturdaten'!$C$7</f>
        <v>969.09090909090901</v>
      </c>
      <c r="I231" s="64">
        <f t="shared" si="24"/>
        <v>47077</v>
      </c>
      <c r="J231" s="64">
        <f t="shared" si="26"/>
        <v>0</v>
      </c>
      <c r="K231" s="101">
        <f>IFERROR(IF(D231=_Datum,Prognoseparameter!$C$14,
IF(_WachstumsrateKURZ="Bundesweit",IF(D231&gt;_Datum,
         K230+AVERAGE(F227:F230)*(1+_WR)*(1-(K230-VLOOKUP('Erkrankungs- und Strukturdaten'!$C$45,$D:$M,$K$1,FALSE))/$B$16),
         K232-$B$23*F232),
IF(D231&gt;_Datum,K230+G231,IF(G232="",K232/(K232^(1/N231)),K232-G232)))),"")</f>
        <v>0</v>
      </c>
      <c r="L231" s="64">
        <f>I231/'Erkrankungs- und Strukturdaten'!$C$7</f>
        <v>85594.545454545441</v>
      </c>
      <c r="M231" s="65">
        <f t="shared" si="27"/>
        <v>1.1451529735304227E-2</v>
      </c>
      <c r="N231" s="223"/>
      <c r="O231" s="221">
        <f t="shared" si="28"/>
        <v>1</v>
      </c>
    </row>
    <row r="232" spans="4:15" x14ac:dyDescent="0.2">
      <c r="D232" s="86">
        <v>44086</v>
      </c>
      <c r="E232" s="64">
        <f t="shared" si="21"/>
        <v>266</v>
      </c>
      <c r="F232" s="101">
        <v>266</v>
      </c>
      <c r="G232" s="140"/>
      <c r="H232" s="64">
        <f>E232/'Erkrankungs- und Strukturdaten'!$C$7</f>
        <v>483.63636363636357</v>
      </c>
      <c r="I232" s="64">
        <f t="shared" si="24"/>
        <v>47343</v>
      </c>
      <c r="J232" s="64">
        <f t="shared" si="26"/>
        <v>0</v>
      </c>
      <c r="K232" s="101">
        <f>IFERROR(IF(D232=_Datum,Prognoseparameter!$C$14,
IF(_WachstumsrateKURZ="Bundesweit",IF(D232&gt;_Datum,
         K231+AVERAGE(F228:F231)*(1+_WR)*(1-(K231-VLOOKUP('Erkrankungs- und Strukturdaten'!$C$45,$D:$M,$K$1,FALSE))/$B$16),
         K233-$B$23*F233),
IF(D232&gt;_Datum,K231+G232,IF(G233="",K233/(K233^(1/N232)),K233-G233)))),"")</f>
        <v>0</v>
      </c>
      <c r="L232" s="64">
        <f>I232/'Erkrankungs- und Strukturdaten'!$C$7</f>
        <v>86078.181818181809</v>
      </c>
      <c r="M232" s="65">
        <f t="shared" si="27"/>
        <v>5.6503175648405807E-3</v>
      </c>
      <c r="N232" s="223"/>
      <c r="O232" s="221">
        <f t="shared" si="28"/>
        <v>1</v>
      </c>
    </row>
    <row r="233" spans="4:15" x14ac:dyDescent="0.2">
      <c r="D233" s="86">
        <v>44087</v>
      </c>
      <c r="E233" s="64">
        <f t="shared" si="21"/>
        <v>238</v>
      </c>
      <c r="F233" s="101">
        <v>238</v>
      </c>
      <c r="G233" s="140"/>
      <c r="H233" s="64">
        <f>E233/'Erkrankungs- und Strukturdaten'!$C$7</f>
        <v>432.72727272727269</v>
      </c>
      <c r="I233" s="64">
        <f t="shared" si="24"/>
        <v>47581</v>
      </c>
      <c r="J233" s="64">
        <f t="shared" si="26"/>
        <v>0</v>
      </c>
      <c r="K233" s="101">
        <f>IFERROR(IF(D233=_Datum,Prognoseparameter!$C$14,
IF(_WachstumsrateKURZ="Bundesweit",IF(D233&gt;_Datum,
         K232+AVERAGE(F229:F232)*(1+_WR)*(1-(K232-VLOOKUP('Erkrankungs- und Strukturdaten'!$C$45,$D:$M,$K$1,FALSE))/$B$16),
         K234-$B$23*F234),
IF(D233&gt;_Datum,K232+G233,IF(G234="",K234/(K234^(1/N233)),K234-G234)))),"")</f>
        <v>0</v>
      </c>
      <c r="L233" s="64">
        <f>I233/'Erkrankungs- und Strukturdaten'!$C$7</f>
        <v>86510.909090909088</v>
      </c>
      <c r="M233" s="65">
        <f t="shared" si="27"/>
        <v>5.027142344169149E-3</v>
      </c>
      <c r="N233" s="223"/>
      <c r="O233" s="221">
        <f t="shared" si="28"/>
        <v>1</v>
      </c>
    </row>
    <row r="234" spans="4:15" x14ac:dyDescent="0.2">
      <c r="D234" s="86">
        <v>44088</v>
      </c>
      <c r="E234" s="64">
        <f t="shared" si="21"/>
        <v>504</v>
      </c>
      <c r="F234" s="101">
        <v>504</v>
      </c>
      <c r="G234" s="140"/>
      <c r="H234" s="64">
        <f>E234/'Erkrankungs- und Strukturdaten'!$C$7</f>
        <v>916.36363636363626</v>
      </c>
      <c r="I234" s="64">
        <f t="shared" si="24"/>
        <v>48085</v>
      </c>
      <c r="J234" s="64">
        <f t="shared" si="26"/>
        <v>0</v>
      </c>
      <c r="K234" s="101">
        <f>IFERROR(IF(D234=_Datum,Prognoseparameter!$C$14,
IF(_WachstumsrateKURZ="Bundesweit",IF(D234&gt;_Datum,
         K233+AVERAGE(F230:F233)*(1+_WR)*(1-(K233-VLOOKUP('Erkrankungs- und Strukturdaten'!$C$45,$D:$M,$K$1,FALSE))/$B$16),
         K235-$B$23*F235),
IF(D234&gt;_Datum,K233+G234,IF(G235="",K235/(K235^(1/N234)),K235-G235)))),"")</f>
        <v>0</v>
      </c>
      <c r="L234" s="64">
        <f>I234/'Erkrankungs- und Strukturdaten'!$C$7</f>
        <v>87427.272727272721</v>
      </c>
      <c r="M234" s="65">
        <f t="shared" si="27"/>
        <v>1.0592463378239212E-2</v>
      </c>
      <c r="N234" s="223"/>
      <c r="O234" s="221">
        <f t="shared" si="28"/>
        <v>1</v>
      </c>
    </row>
    <row r="235" spans="4:15" x14ac:dyDescent="0.2">
      <c r="D235" s="86">
        <v>44089</v>
      </c>
      <c r="E235" s="64">
        <f t="shared" si="21"/>
        <v>458</v>
      </c>
      <c r="F235" s="101">
        <v>458</v>
      </c>
      <c r="G235" s="140"/>
      <c r="H235" s="64">
        <f>E235/'Erkrankungs- und Strukturdaten'!$C$7</f>
        <v>832.72727272727263</v>
      </c>
      <c r="I235" s="64">
        <f t="shared" si="24"/>
        <v>48543</v>
      </c>
      <c r="J235" s="64">
        <f t="shared" si="26"/>
        <v>0</v>
      </c>
      <c r="K235" s="101">
        <f>IFERROR(IF(D235=_Datum,Prognoseparameter!$C$14,
IF(_WachstumsrateKURZ="Bundesweit",IF(D235&gt;_Datum,
         K234+AVERAGE(F231:F234)*(1+_WR)*(1-(K234-VLOOKUP('Erkrankungs- und Strukturdaten'!$C$45,$D:$M,$K$1,FALSE))/$B$16),
         K236-$B$23*F236),
IF(D235&gt;_Datum,K234+G235,IF(G236="",K236/(K236^(1/N235)),K236-G236)))),"")</f>
        <v>0</v>
      </c>
      <c r="L235" s="64">
        <f>I235/'Erkrankungs- und Strukturdaten'!$C$7</f>
        <v>88260</v>
      </c>
      <c r="M235" s="65">
        <f t="shared" si="27"/>
        <v>9.5247998336279501E-3</v>
      </c>
      <c r="N235" s="223"/>
      <c r="O235" s="221">
        <f t="shared" si="28"/>
        <v>1</v>
      </c>
    </row>
    <row r="236" spans="4:15" x14ac:dyDescent="0.2">
      <c r="D236" s="86">
        <v>44090</v>
      </c>
      <c r="E236" s="64">
        <f t="shared" si="21"/>
        <v>516</v>
      </c>
      <c r="F236" s="101">
        <v>516</v>
      </c>
      <c r="G236" s="140"/>
      <c r="H236" s="64">
        <f>E236/'Erkrankungs- und Strukturdaten'!$C$7</f>
        <v>938.18181818181813</v>
      </c>
      <c r="I236" s="64">
        <f t="shared" si="24"/>
        <v>49059</v>
      </c>
      <c r="J236" s="64">
        <f t="shared" si="26"/>
        <v>0</v>
      </c>
      <c r="K236" s="101">
        <f>IFERROR(IF(D236=_Datum,Prognoseparameter!$C$14,
IF(_WachstumsrateKURZ="Bundesweit",IF(D236&gt;_Datum,
         K235+AVERAGE(F232:F235)*(1+_WR)*(1-(K235-VLOOKUP('Erkrankungs- und Strukturdaten'!$C$45,$D:$M,$K$1,FALSE))/$B$16),
         K237-$B$23*F237),
IF(D236&gt;_Datum,K235+G236,IF(G237="",K237/(K237^(1/N236)),K237-G237)))),"")</f>
        <v>0</v>
      </c>
      <c r="L236" s="64">
        <f>I236/'Erkrankungs- und Strukturdaten'!$C$7</f>
        <v>89198.181818181809</v>
      </c>
      <c r="M236" s="65">
        <f t="shared" si="27"/>
        <v>1.0629750942463384E-2</v>
      </c>
      <c r="N236" s="223"/>
      <c r="O236" s="221">
        <f t="shared" si="28"/>
        <v>1</v>
      </c>
    </row>
    <row r="237" spans="4:15" x14ac:dyDescent="0.2">
      <c r="D237" s="86">
        <v>44091</v>
      </c>
      <c r="E237" s="64">
        <f t="shared" si="21"/>
        <v>499</v>
      </c>
      <c r="F237" s="101">
        <v>499</v>
      </c>
      <c r="G237" s="140"/>
      <c r="H237" s="64">
        <f>E237/'Erkrankungs- und Strukturdaten'!$C$7</f>
        <v>907.27272727272725</v>
      </c>
      <c r="I237" s="64">
        <f t="shared" si="24"/>
        <v>49558</v>
      </c>
      <c r="J237" s="64">
        <f t="shared" si="26"/>
        <v>0</v>
      </c>
      <c r="K237" s="101">
        <f>IFERROR(IF(D237=_Datum,Prognoseparameter!$C$14,
IF(_WachstumsrateKURZ="Bundesweit",IF(D237&gt;_Datum,
         K236+AVERAGE(F233:F236)*(1+_WR)*(1-(K236-VLOOKUP('Erkrankungs- und Strukturdaten'!$C$45,$D:$M,$K$1,FALSE))/$B$16),
         K238-$B$23*F238),
IF(D237&gt;_Datum,K236+G237,IF(G238="",K238/(K238^(1/N237)),K238-G238)))),"")</f>
        <v>0</v>
      </c>
      <c r="L237" s="64">
        <f>I237/'Erkrankungs- und Strukturdaten'!$C$7</f>
        <v>90105.454545454544</v>
      </c>
      <c r="M237" s="65">
        <f t="shared" si="27"/>
        <v>1.0171426241872032E-2</v>
      </c>
      <c r="N237" s="223"/>
      <c r="O237" s="221">
        <f t="shared" si="28"/>
        <v>1</v>
      </c>
    </row>
    <row r="238" spans="4:15" x14ac:dyDescent="0.2">
      <c r="D238" s="86">
        <v>44092</v>
      </c>
      <c r="E238" s="64">
        <f t="shared" si="21"/>
        <v>444</v>
      </c>
      <c r="F238" s="101">
        <v>444</v>
      </c>
      <c r="G238" s="140"/>
      <c r="H238" s="64">
        <f>E238/'Erkrankungs- und Strukturdaten'!$C$7</f>
        <v>807.27272727272725</v>
      </c>
      <c r="I238" s="64">
        <f t="shared" si="24"/>
        <v>50002</v>
      </c>
      <c r="J238" s="64">
        <f t="shared" si="26"/>
        <v>0</v>
      </c>
      <c r="K238" s="101">
        <f>IFERROR(IF(D238=_Datum,Prognoseparameter!$C$14,
IF(_WachstumsrateKURZ="Bundesweit",IF(D238&gt;_Datum,
         K237+AVERAGE(F234:F237)*(1+_WR)*(1-(K237-VLOOKUP('Erkrankungs- und Strukturdaten'!$C$45,$D:$M,$K$1,FALSE))/$B$16),
         K239-$B$23*F239),
IF(D238&gt;_Datum,K237+G238,IF(G239="",K239/(K239^(1/N238)),K239-G239)))),"")</f>
        <v>0</v>
      </c>
      <c r="L238" s="64">
        <f>I238/'Erkrankungs- und Strukturdaten'!$C$7</f>
        <v>90912.727272727265</v>
      </c>
      <c r="M238" s="65">
        <f t="shared" si="27"/>
        <v>8.959199322006537E-3</v>
      </c>
      <c r="N238" s="223"/>
      <c r="O238" s="221">
        <f t="shared" si="28"/>
        <v>1</v>
      </c>
    </row>
    <row r="239" spans="4:15" x14ac:dyDescent="0.2">
      <c r="D239" s="86">
        <v>44093</v>
      </c>
      <c r="E239" s="64">
        <f t="shared" si="21"/>
        <v>284</v>
      </c>
      <c r="F239" s="101">
        <v>284</v>
      </c>
      <c r="G239" s="140"/>
      <c r="H239" s="64">
        <f>E239/'Erkrankungs- und Strukturdaten'!$C$7</f>
        <v>516.36363636363637</v>
      </c>
      <c r="I239" s="64">
        <f t="shared" si="24"/>
        <v>50286</v>
      </c>
      <c r="J239" s="64">
        <f t="shared" si="26"/>
        <v>0</v>
      </c>
      <c r="K239" s="101">
        <f>IFERROR(IF(D239=_Datum,Prognoseparameter!$C$14,
IF(_WachstumsrateKURZ="Bundesweit",IF(D239&gt;_Datum,
         K238+AVERAGE(F235:F238)*(1+_WR)*(1-(K238-VLOOKUP('Erkrankungs- und Strukturdaten'!$C$45,$D:$M,$K$1,FALSE))/$B$16),
         K240-$B$23*F240),
IF(D239&gt;_Datum,K238+G239,IF(G240="",K240/(K240^(1/N239)),K240-G240)))),"")</f>
        <v>0</v>
      </c>
      <c r="L239" s="64">
        <f>I239/'Erkrankungs- und Strukturdaten'!$C$7</f>
        <v>91429.090909090897</v>
      </c>
      <c r="M239" s="65">
        <f t="shared" si="27"/>
        <v>5.6797728090876368E-3</v>
      </c>
      <c r="N239" s="223"/>
      <c r="O239" s="221">
        <f t="shared" si="28"/>
        <v>1</v>
      </c>
    </row>
    <row r="240" spans="4:15" x14ac:dyDescent="0.2">
      <c r="D240" s="86">
        <v>44094</v>
      </c>
      <c r="E240" s="64">
        <f t="shared" si="21"/>
        <v>200</v>
      </c>
      <c r="F240" s="101">
        <v>200</v>
      </c>
      <c r="G240" s="140"/>
      <c r="H240" s="64">
        <f>E240/'Erkrankungs- und Strukturdaten'!$C$7</f>
        <v>363.63636363636363</v>
      </c>
      <c r="I240" s="64">
        <f t="shared" si="24"/>
        <v>50486</v>
      </c>
      <c r="J240" s="64">
        <f t="shared" si="26"/>
        <v>0</v>
      </c>
      <c r="K240" s="101">
        <f>IFERROR(IF(D240=_Datum,Prognoseparameter!$C$14,
IF(_WachstumsrateKURZ="Bundesweit",IF(D240&gt;_Datum,
         K239+AVERAGE(F236:F239)*(1+_WR)*(1-(K239-VLOOKUP('Erkrankungs- und Strukturdaten'!$C$45,$D:$M,$K$1,FALSE))/$B$16),
         K241-$B$23*F241),
IF(D240&gt;_Datum,K239+G240,IF(G241="",K241/(K241^(1/N240)),K241-G241)))),"")</f>
        <v>0</v>
      </c>
      <c r="L240" s="64">
        <f>I240/'Erkrankungs- und Strukturdaten'!$C$7</f>
        <v>91792.727272727265</v>
      </c>
      <c r="M240" s="65">
        <f t="shared" si="27"/>
        <v>3.977250129260629E-3</v>
      </c>
      <c r="N240" s="223"/>
      <c r="O240" s="221">
        <f t="shared" si="28"/>
        <v>1</v>
      </c>
    </row>
    <row r="241" spans="4:15" x14ac:dyDescent="0.2">
      <c r="D241" s="86">
        <v>44095</v>
      </c>
      <c r="E241" s="64">
        <f t="shared" si="21"/>
        <v>395</v>
      </c>
      <c r="F241" s="101">
        <v>395</v>
      </c>
      <c r="G241" s="140"/>
      <c r="H241" s="64">
        <f>E241/'Erkrankungs- und Strukturdaten'!$C$7</f>
        <v>718.18181818181813</v>
      </c>
      <c r="I241" s="64">
        <f t="shared" si="24"/>
        <v>50881</v>
      </c>
      <c r="J241" s="64">
        <f t="shared" si="26"/>
        <v>0</v>
      </c>
      <c r="K241" s="101">
        <f>IFERROR(IF(D241=_Datum,Prognoseparameter!$C$14,
IF(_WachstumsrateKURZ="Bundesweit",IF(D241&gt;_Datum,
         K240+AVERAGE(F237:F240)*(1+_WR)*(1-(K240-VLOOKUP('Erkrankungs- und Strukturdaten'!$C$45,$D:$M,$K$1,FALSE))/$B$16),
         K242-$B$23*F242),
IF(D241&gt;_Datum,K240+G241,IF(G242="",K242/(K242^(1/N241)),K242-G242)))),"")</f>
        <v>0</v>
      </c>
      <c r="L241" s="64">
        <f>I241/'Erkrankungs- und Strukturdaten'!$C$7</f>
        <v>92510.909090909088</v>
      </c>
      <c r="M241" s="65">
        <f t="shared" si="27"/>
        <v>7.8239511943905236E-3</v>
      </c>
      <c r="N241" s="223"/>
      <c r="O241" s="221">
        <f t="shared" si="28"/>
        <v>1</v>
      </c>
    </row>
    <row r="242" spans="4:15" x14ac:dyDescent="0.2">
      <c r="D242" s="86">
        <v>44096</v>
      </c>
      <c r="E242" s="64">
        <f t="shared" si="21"/>
        <v>425</v>
      </c>
      <c r="F242" s="101">
        <v>425</v>
      </c>
      <c r="G242" s="140"/>
      <c r="H242" s="64">
        <f>E242/'Erkrankungs- und Strukturdaten'!$C$7</f>
        <v>772.72727272727263</v>
      </c>
      <c r="I242" s="64">
        <f t="shared" si="24"/>
        <v>51306</v>
      </c>
      <c r="J242" s="64">
        <f t="shared" si="26"/>
        <v>0</v>
      </c>
      <c r="K242" s="101">
        <f>IFERROR(IF(D242=_Datum,Prognoseparameter!$C$14,
IF(_WachstumsrateKURZ="Bundesweit",IF(D242&gt;_Datum,
         K241+AVERAGE(F238:F241)*(1+_WR)*(1-(K241-VLOOKUP('Erkrankungs- und Strukturdaten'!$C$45,$D:$M,$K$1,FALSE))/$B$16),
         K243-$B$23*F243),
IF(D242&gt;_Datum,K241+G242,IF(G243="",K243/(K243^(1/N242)),K243-G243)))),"")</f>
        <v>0</v>
      </c>
      <c r="L242" s="64">
        <f>I242/'Erkrankungs- und Strukturdaten'!$C$7</f>
        <v>93283.636363636353</v>
      </c>
      <c r="M242" s="65">
        <f t="shared" si="27"/>
        <v>8.35282325425994E-3</v>
      </c>
      <c r="N242" s="223"/>
      <c r="O242" s="221">
        <f t="shared" si="28"/>
        <v>1</v>
      </c>
    </row>
    <row r="243" spans="4:15" x14ac:dyDescent="0.2">
      <c r="D243" s="86">
        <v>44097</v>
      </c>
      <c r="E243" s="64">
        <f t="shared" si="21"/>
        <v>389</v>
      </c>
      <c r="F243" s="101">
        <v>389</v>
      </c>
      <c r="G243" s="140"/>
      <c r="H243" s="64">
        <f>E243/'Erkrankungs- und Strukturdaten'!$C$7</f>
        <v>707.27272727272725</v>
      </c>
      <c r="I243" s="64">
        <f t="shared" si="24"/>
        <v>51695</v>
      </c>
      <c r="J243" s="64">
        <f t="shared" si="26"/>
        <v>0</v>
      </c>
      <c r="K243" s="101">
        <f>IFERROR(IF(D243=_Datum,Prognoseparameter!$C$14,
IF(_WachstumsrateKURZ="Bundesweit",IF(D243&gt;_Datum,
         K242+AVERAGE(F239:F242)*(1+_WR)*(1-(K242-VLOOKUP('Erkrankungs- und Strukturdaten'!$C$45,$D:$M,$K$1,FALSE))/$B$16),
         K244-$B$23*F244),
IF(D243&gt;_Datum,K242+G243,IF(G244="",K244/(K244^(1/N243)),K244-G244)))),"")</f>
        <v>0</v>
      </c>
      <c r="L243" s="64">
        <f>I243/'Erkrankungs- und Strukturdaten'!$C$7</f>
        <v>93990.909090909088</v>
      </c>
      <c r="M243" s="65">
        <f t="shared" si="27"/>
        <v>7.5819592250419053E-3</v>
      </c>
      <c r="N243" s="223"/>
      <c r="O243" s="221">
        <f t="shared" si="28"/>
        <v>1</v>
      </c>
    </row>
    <row r="244" spans="4:15" x14ac:dyDescent="0.2">
      <c r="D244" s="86">
        <v>44098</v>
      </c>
      <c r="E244" s="64">
        <f t="shared" si="21"/>
        <v>308</v>
      </c>
      <c r="F244" s="101">
        <v>308</v>
      </c>
      <c r="G244" s="140"/>
      <c r="H244" s="64">
        <f>E244/'Erkrankungs- und Strukturdaten'!$C$7</f>
        <v>560</v>
      </c>
      <c r="I244" s="64">
        <f t="shared" si="24"/>
        <v>52003</v>
      </c>
      <c r="J244" s="64">
        <f t="shared" si="26"/>
        <v>0</v>
      </c>
      <c r="K244" s="101">
        <f>IFERROR(IF(D244=_Datum,Prognoseparameter!$C$14,
IF(_WachstumsrateKURZ="Bundesweit",IF(D244&gt;_Datum,
         K243+AVERAGE(F240:F243)*(1+_WR)*(1-(K243-VLOOKUP('Erkrankungs- und Strukturdaten'!$C$45,$D:$M,$K$1,FALSE))/$B$16),
         K245-$B$23*F245),
IF(D244&gt;_Datum,K243+G244,IF(G245="",K245/(K245^(1/N244)),K245-G245)))),"")</f>
        <v>0</v>
      </c>
      <c r="L244" s="64">
        <f>I244/'Erkrankungs- und Strukturdaten'!$C$7</f>
        <v>94550.909090909088</v>
      </c>
      <c r="M244" s="65">
        <f t="shared" si="27"/>
        <v>5.9580230196343937E-3</v>
      </c>
      <c r="N244" s="223"/>
      <c r="O244" s="221">
        <f t="shared" si="28"/>
        <v>1</v>
      </c>
    </row>
    <row r="245" spans="4:15" x14ac:dyDescent="0.2">
      <c r="D245" s="86">
        <v>44099</v>
      </c>
      <c r="E245" s="64">
        <f t="shared" si="21"/>
        <v>359</v>
      </c>
      <c r="F245" s="101">
        <v>359</v>
      </c>
      <c r="G245" s="140"/>
      <c r="H245" s="64">
        <f>E245/'Erkrankungs- und Strukturdaten'!$C$7</f>
        <v>652.72727272727263</v>
      </c>
      <c r="I245" s="64">
        <f t="shared" si="24"/>
        <v>52362</v>
      </c>
      <c r="J245" s="64">
        <f t="shared" si="26"/>
        <v>0</v>
      </c>
      <c r="K245" s="101">
        <f>IFERROR(IF(D245=_Datum,Prognoseparameter!$C$14,
IF(_WachstumsrateKURZ="Bundesweit",IF(D245&gt;_Datum,
         K244+AVERAGE(F241:F244)*(1+_WR)*(1-(K244-VLOOKUP('Erkrankungs- und Strukturdaten'!$C$45,$D:$M,$K$1,FALSE))/$B$16),
         K246-$B$23*F246),
IF(D245&gt;_Datum,K244+G245,IF(G246="",K246/(K246^(1/N245)),K246-G246)))),"")</f>
        <v>0</v>
      </c>
      <c r="L245" s="64">
        <f>I245/'Erkrankungs- und Strukturdaten'!$C$7</f>
        <v>95203.636363636353</v>
      </c>
      <c r="M245" s="65">
        <f t="shared" si="27"/>
        <v>6.9034478780070378E-3</v>
      </c>
      <c r="N245" s="223"/>
      <c r="O245" s="221">
        <f t="shared" si="28"/>
        <v>1</v>
      </c>
    </row>
    <row r="246" spans="4:15" x14ac:dyDescent="0.2">
      <c r="D246" s="86">
        <v>44100</v>
      </c>
      <c r="E246" s="64">
        <f t="shared" si="21"/>
        <v>222</v>
      </c>
      <c r="F246" s="101">
        <v>222</v>
      </c>
      <c r="G246" s="140"/>
      <c r="H246" s="64">
        <f>E246/'Erkrankungs- und Strukturdaten'!$C$7</f>
        <v>403.63636363636363</v>
      </c>
      <c r="I246" s="64">
        <f t="shared" si="24"/>
        <v>52584</v>
      </c>
      <c r="J246" s="64">
        <f t="shared" si="26"/>
        <v>0</v>
      </c>
      <c r="K246" s="101">
        <f>IFERROR(IF(D246=_Datum,Prognoseparameter!$C$14,
IF(_WachstumsrateKURZ="Bundesweit",IF(D246&gt;_Datum,
         K245+AVERAGE(F242:F245)*(1+_WR)*(1-(K245-VLOOKUP('Erkrankungs- und Strukturdaten'!$C$45,$D:$M,$K$1,FALSE))/$B$16),
         K247-$B$23*F247),
IF(D246&gt;_Datum,K245+G246,IF(G247="",K247/(K247^(1/N246)),K247-G247)))),"")</f>
        <v>0</v>
      </c>
      <c r="L246" s="64">
        <f>I246/'Erkrankungs- und Strukturdaten'!$C$7</f>
        <v>95607.272727272721</v>
      </c>
      <c r="M246" s="65">
        <f t="shared" si="27"/>
        <v>4.2397158244528478E-3</v>
      </c>
      <c r="N246" s="223"/>
      <c r="O246" s="221">
        <f t="shared" si="28"/>
        <v>1</v>
      </c>
    </row>
    <row r="247" spans="4:15" x14ac:dyDescent="0.2">
      <c r="D247" s="86">
        <v>44101</v>
      </c>
      <c r="E247" s="64">
        <f t="shared" si="21"/>
        <v>120</v>
      </c>
      <c r="F247" s="101">
        <v>120</v>
      </c>
      <c r="G247" s="140"/>
      <c r="H247" s="64">
        <f>E247/'Erkrankungs- und Strukturdaten'!$C$7</f>
        <v>218.18181818181816</v>
      </c>
      <c r="I247" s="64">
        <f t="shared" si="24"/>
        <v>52704</v>
      </c>
      <c r="J247" s="64">
        <f t="shared" si="26"/>
        <v>0</v>
      </c>
      <c r="K247" s="101">
        <f>IFERROR(IF(D247=_Datum,Prognoseparameter!$C$14,
IF(_WachstumsrateKURZ="Bundesweit",IF(D247&gt;_Datum,
         K246+AVERAGE(F243:F246)*(1+_WR)*(1-(K246-VLOOKUP('Erkrankungs- und Strukturdaten'!$C$45,$D:$M,$K$1,FALSE))/$B$16),
         K248-$B$23*F248),
IF(D247&gt;_Datum,K246+G247,IF(G248="",K248/(K248^(1/N247)),K248-G248)))),"")</f>
        <v>0</v>
      </c>
      <c r="L247" s="64">
        <f>I247/'Erkrankungs- und Strukturdaten'!$C$7</f>
        <v>95825.454545454544</v>
      </c>
      <c r="M247" s="65">
        <f t="shared" si="27"/>
        <v>2.2820629849383844E-3</v>
      </c>
      <c r="N247" s="223"/>
      <c r="O247" s="221">
        <f t="shared" si="28"/>
        <v>1</v>
      </c>
    </row>
    <row r="248" spans="4:15" x14ac:dyDescent="0.2">
      <c r="D248" s="86">
        <v>44102</v>
      </c>
      <c r="E248" s="64">
        <f t="shared" si="21"/>
        <v>368</v>
      </c>
      <c r="F248" s="101">
        <v>368</v>
      </c>
      <c r="G248" s="140"/>
      <c r="H248" s="64">
        <f>E248/'Erkrankungs- und Strukturdaten'!$C$7</f>
        <v>669.09090909090901</v>
      </c>
      <c r="I248" s="64">
        <f t="shared" si="24"/>
        <v>53072</v>
      </c>
      <c r="J248" s="64">
        <f t="shared" si="26"/>
        <v>0</v>
      </c>
      <c r="K248" s="101">
        <f>IFERROR(IF(D248=_Datum,Prognoseparameter!$C$14,
IF(_WachstumsrateKURZ="Bundesweit",IF(D248&gt;_Datum,
         K247+AVERAGE(F244:F247)*(1+_WR)*(1-(K247-VLOOKUP('Erkrankungs- und Strukturdaten'!$C$45,$D:$M,$K$1,FALSE))/$B$16),
         K249-$B$23*F249),
IF(D248&gt;_Datum,K247+G248,IF(G249="",K249/(K249^(1/N248)),K249-G249)))),"")</f>
        <v>0</v>
      </c>
      <c r="L248" s="64">
        <f>I248/'Erkrankungs- und Strukturdaten'!$C$7</f>
        <v>96494.545454545441</v>
      </c>
      <c r="M248" s="65">
        <f t="shared" si="27"/>
        <v>6.9823922282938678E-3</v>
      </c>
      <c r="N248" s="223"/>
      <c r="O248" s="221">
        <f t="shared" si="28"/>
        <v>1</v>
      </c>
    </row>
    <row r="249" spans="4:15" x14ac:dyDescent="0.2">
      <c r="D249" s="86">
        <v>44103</v>
      </c>
      <c r="E249" s="64">
        <f t="shared" si="21"/>
        <v>449</v>
      </c>
      <c r="F249" s="101">
        <v>449</v>
      </c>
      <c r="G249" s="140"/>
      <c r="H249" s="64">
        <f>E249/'Erkrankungs- und Strukturdaten'!$C$7</f>
        <v>816.36363636363626</v>
      </c>
      <c r="I249" s="64">
        <f t="shared" si="24"/>
        <v>53521</v>
      </c>
      <c r="J249" s="64">
        <f t="shared" si="26"/>
        <v>0</v>
      </c>
      <c r="K249" s="101">
        <f>IFERROR(IF(D249=_Datum,Prognoseparameter!$C$14,
IF(_WachstumsrateKURZ="Bundesweit",IF(D249&gt;_Datum,
         K248+AVERAGE(F245:F248)*(1+_WR)*(1-(K248-VLOOKUP('Erkrankungs- und Strukturdaten'!$C$45,$D:$M,$K$1,FALSE))/$B$16),
         K250-$B$23*F250),
IF(D249&gt;_Datum,K248+G249,IF(G250="",K250/(K250^(1/N249)),K250-G250)))),"")</f>
        <v>0</v>
      </c>
      <c r="L249" s="64">
        <f>I249/'Erkrankungs- und Strukturdaten'!$C$7</f>
        <v>97310.909090909088</v>
      </c>
      <c r="M249" s="65">
        <f t="shared" si="27"/>
        <v>8.4602050045221588E-3</v>
      </c>
      <c r="N249" s="223"/>
      <c r="O249" s="221">
        <f t="shared" si="28"/>
        <v>1</v>
      </c>
    </row>
    <row r="250" spans="4:15" x14ac:dyDescent="0.2">
      <c r="D250" s="86">
        <v>44104</v>
      </c>
      <c r="E250" s="64">
        <f t="shared" si="21"/>
        <v>540</v>
      </c>
      <c r="F250" s="101">
        <v>540</v>
      </c>
      <c r="G250" s="140"/>
      <c r="H250" s="64">
        <f>E250/'Erkrankungs- und Strukturdaten'!$C$7</f>
        <v>981.81818181818176</v>
      </c>
      <c r="I250" s="64">
        <f t="shared" si="24"/>
        <v>54061</v>
      </c>
      <c r="J250" s="64">
        <f t="shared" si="26"/>
        <v>0</v>
      </c>
      <c r="K250" s="101">
        <f>IFERROR(IF(D250=_Datum,Prognoseparameter!$C$14,
IF(_WachstumsrateKURZ="Bundesweit",IF(D250&gt;_Datum,
         K249+AVERAGE(F246:F249)*(1+_WR)*(1-(K249-VLOOKUP('Erkrankungs- und Strukturdaten'!$C$45,$D:$M,$K$1,FALSE))/$B$16),
         K251-$B$23*F251),
IF(D250&gt;_Datum,K249+G250,IF(G251="",K251/(K251^(1/N250)),K251-G251)))),"")</f>
        <v>0</v>
      </c>
      <c r="L250" s="64">
        <f>I250/'Erkrankungs- und Strukturdaten'!$C$7</f>
        <v>98292.727272727265</v>
      </c>
      <c r="M250" s="65">
        <f t="shared" si="27"/>
        <v>1.0089497580389007E-2</v>
      </c>
      <c r="N250" s="223"/>
      <c r="O250" s="221">
        <f t="shared" si="28"/>
        <v>1</v>
      </c>
    </row>
    <row r="251" spans="4:15" x14ac:dyDescent="0.2">
      <c r="D251" s="86">
        <v>44105</v>
      </c>
      <c r="E251" s="64">
        <f t="shared" si="21"/>
        <v>601</v>
      </c>
      <c r="F251" s="101">
        <v>601</v>
      </c>
      <c r="G251" s="140"/>
      <c r="H251" s="64">
        <f>E251/'Erkrankungs- und Strukturdaten'!$C$7</f>
        <v>1092.7272727272727</v>
      </c>
      <c r="I251" s="64">
        <f t="shared" si="24"/>
        <v>54662</v>
      </c>
      <c r="J251" s="64">
        <f t="shared" si="26"/>
        <v>0</v>
      </c>
      <c r="K251" s="101">
        <f>IFERROR(IF(D251=_Datum,Prognoseparameter!$C$14,
IF(_WachstumsrateKURZ="Bundesweit",IF(D251&gt;_Datum,
         K250+AVERAGE(F247:F250)*(1+_WR)*(1-(K250-VLOOKUP('Erkrankungs- und Strukturdaten'!$C$45,$D:$M,$K$1,FALSE))/$B$16),
         K252-$B$23*F252),
IF(D251&gt;_Datum,K250+G251,IF(G252="",K252/(K252^(1/N251)),K252-G252)))),"")</f>
        <v>0</v>
      </c>
      <c r="L251" s="64">
        <f>I251/'Erkrankungs- und Strukturdaten'!$C$7</f>
        <v>99385.454545454544</v>
      </c>
      <c r="M251" s="65">
        <f t="shared" si="27"/>
        <v>1.1117071456317863E-2</v>
      </c>
      <c r="N251" s="223"/>
      <c r="O251" s="221">
        <f t="shared" si="28"/>
        <v>1</v>
      </c>
    </row>
    <row r="252" spans="4:15" x14ac:dyDescent="0.2">
      <c r="D252" s="86">
        <v>44106</v>
      </c>
      <c r="E252" s="64">
        <f t="shared" si="21"/>
        <v>677</v>
      </c>
      <c r="F252" s="101">
        <v>677</v>
      </c>
      <c r="G252" s="140"/>
      <c r="H252" s="64">
        <f>E252/'Erkrankungs- und Strukturdaten'!$C$7</f>
        <v>1230.9090909090908</v>
      </c>
      <c r="I252" s="64">
        <f t="shared" si="24"/>
        <v>55339</v>
      </c>
      <c r="J252" s="64">
        <f t="shared" si="26"/>
        <v>0</v>
      </c>
      <c r="K252" s="101">
        <f>IFERROR(IF(D252=_Datum,Prognoseparameter!$C$14,
IF(_WachstumsrateKURZ="Bundesweit",IF(D252&gt;_Datum,
         K251+AVERAGE(F248:F251)*(1+_WR)*(1-(K251-VLOOKUP('Erkrankungs- und Strukturdaten'!$C$45,$D:$M,$K$1,FALSE))/$B$16),
         K253-$B$23*F253),
IF(D252&gt;_Datum,K251+G252,IF(G253="",K253/(K253^(1/N252)),K253-G253)))),"")</f>
        <v>0</v>
      </c>
      <c r="L252" s="64">
        <f>I252/'Erkrankungs- und Strukturdaten'!$C$7</f>
        <v>100616.36363636363</v>
      </c>
      <c r="M252" s="65">
        <f t="shared" si="27"/>
        <v>1.2385203614942738E-2</v>
      </c>
      <c r="N252" s="223"/>
      <c r="O252" s="221">
        <f t="shared" si="28"/>
        <v>1</v>
      </c>
    </row>
    <row r="253" spans="4:15" x14ac:dyDescent="0.2">
      <c r="D253" s="86">
        <v>44107</v>
      </c>
      <c r="E253" s="64">
        <f t="shared" si="21"/>
        <v>512</v>
      </c>
      <c r="F253" s="101">
        <v>512</v>
      </c>
      <c r="G253" s="140"/>
      <c r="H253" s="64">
        <f>E253/'Erkrankungs- und Strukturdaten'!$C$7</f>
        <v>930.90909090909088</v>
      </c>
      <c r="I253" s="64">
        <f t="shared" si="24"/>
        <v>55851</v>
      </c>
      <c r="J253" s="64">
        <f t="shared" si="26"/>
        <v>0</v>
      </c>
      <c r="K253" s="101">
        <f>IFERROR(IF(D253=_Datum,Prognoseparameter!$C$14,
IF(_WachstumsrateKURZ="Bundesweit",IF(D253&gt;_Datum,
         K252+AVERAGE(F249:F252)*(1+_WR)*(1-(K252-VLOOKUP('Erkrankungs- und Strukturdaten'!$C$45,$D:$M,$K$1,FALSE))/$B$16),
         K254-$B$23*F254),
IF(D253&gt;_Datum,K252+G253,IF(G254="",K254/(K254^(1/N253)),K254-G254)))),"")</f>
        <v>0</v>
      </c>
      <c r="L253" s="64">
        <f>I253/'Erkrankungs- und Strukturdaten'!$C$7</f>
        <v>101547.27272727272</v>
      </c>
      <c r="M253" s="65">
        <f t="shared" si="27"/>
        <v>9.2520645476065703E-3</v>
      </c>
      <c r="N253" s="223"/>
      <c r="O253" s="221">
        <f t="shared" si="28"/>
        <v>1</v>
      </c>
    </row>
    <row r="254" spans="4:15" x14ac:dyDescent="0.2">
      <c r="D254" s="86">
        <v>44108</v>
      </c>
      <c r="E254" s="64">
        <f t="shared" si="21"/>
        <v>316</v>
      </c>
      <c r="F254" s="101">
        <v>316</v>
      </c>
      <c r="G254" s="140"/>
      <c r="H254" s="64">
        <f>E254/'Erkrankungs- und Strukturdaten'!$C$7</f>
        <v>574.5454545454545</v>
      </c>
      <c r="I254" s="64">
        <f t="shared" si="24"/>
        <v>56167</v>
      </c>
      <c r="J254" s="64">
        <f t="shared" si="26"/>
        <v>0</v>
      </c>
      <c r="K254" s="101">
        <f>IFERROR(IF(D254=_Datum,Prognoseparameter!$C$14,
IF(_WachstumsrateKURZ="Bundesweit",IF(D254&gt;_Datum,
         K253+AVERAGE(F250:F253)*(1+_WR)*(1-(K253-VLOOKUP('Erkrankungs- und Strukturdaten'!$C$45,$D:$M,$K$1,FALSE))/$B$16),
         K255-$B$23*F255),
IF(D254&gt;_Datum,K253+G254,IF(G255="",K255/(K255^(1/N254)),K255-G255)))),"")</f>
        <v>0</v>
      </c>
      <c r="L254" s="64">
        <f>I254/'Erkrankungs- und Strukturdaten'!$C$7</f>
        <v>102121.81818181818</v>
      </c>
      <c r="M254" s="65">
        <f t="shared" si="27"/>
        <v>5.6579112280890223E-3</v>
      </c>
      <c r="N254" s="223"/>
      <c r="O254" s="221">
        <f t="shared" si="28"/>
        <v>1</v>
      </c>
    </row>
    <row r="255" spans="4:15" x14ac:dyDescent="0.2">
      <c r="D255" s="86">
        <v>44109</v>
      </c>
      <c r="E255" s="64">
        <f t="shared" si="21"/>
        <v>1018</v>
      </c>
      <c r="F255" s="101">
        <v>1018</v>
      </c>
      <c r="G255" s="140"/>
      <c r="H255" s="64">
        <f>E255/'Erkrankungs- und Strukturdaten'!$C$7</f>
        <v>1850.9090909090908</v>
      </c>
      <c r="I255" s="64">
        <f t="shared" si="24"/>
        <v>57185</v>
      </c>
      <c r="J255" s="64">
        <f t="shared" si="26"/>
        <v>0</v>
      </c>
      <c r="K255" s="101">
        <f>IFERROR(IF(D255=_Datum,Prognoseparameter!$C$14,
IF(_WachstumsrateKURZ="Bundesweit",IF(D255&gt;_Datum,
         K254+AVERAGE(F251:F254)*(1+_WR)*(1-(K254-VLOOKUP('Erkrankungs- und Strukturdaten'!$C$45,$D:$M,$K$1,FALSE))/$B$16),
         K256-$B$23*F256),
IF(D255&gt;_Datum,K254+G255,IF(G256="",K256/(K256^(1/N255)),K256-G256)))),"")</f>
        <v>0</v>
      </c>
      <c r="L255" s="64">
        <f>I255/'Erkrankungs- und Strukturdaten'!$C$7</f>
        <v>103972.72727272726</v>
      </c>
      <c r="M255" s="65">
        <f t="shared" si="27"/>
        <v>1.8124521516192781E-2</v>
      </c>
      <c r="N255" s="223"/>
      <c r="O255" s="221">
        <f t="shared" si="28"/>
        <v>1</v>
      </c>
    </row>
    <row r="256" spans="4:15" x14ac:dyDescent="0.2">
      <c r="D256" s="86">
        <v>44110</v>
      </c>
      <c r="E256" s="64">
        <f t="shared" si="21"/>
        <v>1097</v>
      </c>
      <c r="F256" s="101">
        <v>1097</v>
      </c>
      <c r="G256" s="140"/>
      <c r="H256" s="64">
        <f>E256/'Erkrankungs- und Strukturdaten'!$C$7</f>
        <v>1994.5454545454543</v>
      </c>
      <c r="I256" s="64">
        <f t="shared" si="24"/>
        <v>58282</v>
      </c>
      <c r="J256" s="64">
        <f t="shared" si="26"/>
        <v>0</v>
      </c>
      <c r="K256" s="101">
        <f>IFERROR(IF(D256=_Datum,Prognoseparameter!$C$14,
IF(_WachstumsrateKURZ="Bundesweit",IF(D256&gt;_Datum,
         K255+AVERAGE(F252:F255)*(1+_WR)*(1-(K255-VLOOKUP('Erkrankungs- und Strukturdaten'!$C$45,$D:$M,$K$1,FALSE))/$B$16),
         K257-$B$23*F257),
IF(D256&gt;_Datum,K255+G256,IF(G257="",K257/(K257^(1/N256)),K257-G257)))),"")</f>
        <v>0</v>
      </c>
      <c r="L256" s="64">
        <f>I256/'Erkrankungs- und Strukturdaten'!$C$7</f>
        <v>105967.27272727272</v>
      </c>
      <c r="M256" s="65">
        <f t="shared" si="27"/>
        <v>1.9183352277695201E-2</v>
      </c>
      <c r="N256" s="223"/>
      <c r="O256" s="221">
        <f t="shared" si="28"/>
        <v>1</v>
      </c>
    </row>
    <row r="257" spans="1:15" x14ac:dyDescent="0.2">
      <c r="D257" s="86">
        <v>44111</v>
      </c>
      <c r="E257" s="64">
        <f t="shared" si="21"/>
        <v>1377</v>
      </c>
      <c r="F257" s="101">
        <v>1377</v>
      </c>
      <c r="G257" s="140"/>
      <c r="H257" s="64">
        <f>E257/'Erkrankungs- und Strukturdaten'!$C$7</f>
        <v>2503.6363636363635</v>
      </c>
      <c r="I257" s="64">
        <f t="shared" si="24"/>
        <v>59659</v>
      </c>
      <c r="J257" s="64">
        <f t="shared" si="26"/>
        <v>0</v>
      </c>
      <c r="K257" s="101">
        <f>IFERROR(IF(D257=_Datum,Prognoseparameter!$C$14,
IF(_WachstumsrateKURZ="Bundesweit",IF(D257&gt;_Datum,
         K256+AVERAGE(F253:F256)*(1+_WR)*(1-(K256-VLOOKUP('Erkrankungs- und Strukturdaten'!$C$45,$D:$M,$K$1,FALSE))/$B$16),
         K258-$B$23*F258),
IF(D257&gt;_Datum,K256+G257,IF(G258="",K258/(K258^(1/N257)),K258-G258)))),"")</f>
        <v>0</v>
      </c>
      <c r="L257" s="64">
        <f>I257/'Erkrankungs- und Strukturdaten'!$C$7</f>
        <v>108470.90909090909</v>
      </c>
      <c r="M257" s="65">
        <f t="shared" si="27"/>
        <v>2.362650561065166E-2</v>
      </c>
      <c r="N257" s="223"/>
      <c r="O257" s="221">
        <f t="shared" si="28"/>
        <v>1</v>
      </c>
    </row>
    <row r="258" spans="1:15" x14ac:dyDescent="0.2">
      <c r="D258" s="86">
        <v>44112</v>
      </c>
      <c r="E258" s="64">
        <f t="shared" si="21"/>
        <v>1471</v>
      </c>
      <c r="F258" s="101">
        <v>1471</v>
      </c>
      <c r="G258" s="140"/>
      <c r="H258" s="64">
        <f>E258/'Erkrankungs- und Strukturdaten'!$C$7</f>
        <v>2674.5454545454545</v>
      </c>
      <c r="I258" s="64">
        <f t="shared" si="24"/>
        <v>61130</v>
      </c>
      <c r="J258" s="64">
        <f t="shared" si="26"/>
        <v>0</v>
      </c>
      <c r="K258" s="101">
        <f>IFERROR(IF(D258=_Datum,Prognoseparameter!$C$14,
IF(_WachstumsrateKURZ="Bundesweit",IF(D258&gt;_Datum,
         K257+AVERAGE(F254:F257)*(1+_WR)*(1-(K257-VLOOKUP('Erkrankungs- und Strukturdaten'!$C$45,$D:$M,$K$1,FALSE))/$B$16),
         K259-$B$23*F259),
IF(D258&gt;_Datum,K257+G258,IF(G259="",K259/(K259^(1/N258)),K259-G259)))),"")</f>
        <v>0</v>
      </c>
      <c r="L258" s="64">
        <f>I258/'Erkrankungs- und Strukturdaten'!$C$7</f>
        <v>111145.45454545453</v>
      </c>
      <c r="M258" s="65">
        <f t="shared" si="27"/>
        <v>2.4656799477027775E-2</v>
      </c>
      <c r="N258" s="223"/>
      <c r="O258" s="221">
        <f t="shared" si="28"/>
        <v>1</v>
      </c>
    </row>
    <row r="259" spans="1:15" x14ac:dyDescent="0.2">
      <c r="D259" s="86">
        <v>44113</v>
      </c>
      <c r="E259" s="64">
        <f t="shared" si="21"/>
        <v>1722</v>
      </c>
      <c r="F259" s="101">
        <v>1722</v>
      </c>
      <c r="G259" s="140"/>
      <c r="H259" s="64">
        <f>E259/'Erkrankungs- und Strukturdaten'!$C$7</f>
        <v>3130.9090909090905</v>
      </c>
      <c r="I259" s="64">
        <f t="shared" si="24"/>
        <v>62852</v>
      </c>
      <c r="J259" s="64">
        <f t="shared" si="26"/>
        <v>0</v>
      </c>
      <c r="K259" s="101">
        <f>IFERROR(IF(D259=_Datum,Prognoseparameter!$C$14,
IF(_WachstumsrateKURZ="Bundesweit",IF(D259&gt;_Datum,
         K258+AVERAGE(F255:F258)*(1+_WR)*(1-(K258-VLOOKUP('Erkrankungs- und Strukturdaten'!$C$45,$D:$M,$K$1,FALSE))/$B$16),
         K260-$B$23*F260),
IF(D259&gt;_Datum,K258+G259,IF(G260="",K260/(K260^(1/N259)),K260-G260)))),"")</f>
        <v>0</v>
      </c>
      <c r="L259" s="64">
        <f>I259/'Erkrankungs- und Strukturdaten'!$C$7</f>
        <v>114276.36363636363</v>
      </c>
      <c r="M259" s="65">
        <f t="shared" si="27"/>
        <v>2.8169474889579584E-2</v>
      </c>
      <c r="N259" s="163">
        <v>217</v>
      </c>
      <c r="O259" s="221">
        <f t="shared" si="28"/>
        <v>1</v>
      </c>
    </row>
    <row r="260" spans="1:15" x14ac:dyDescent="0.2">
      <c r="D260" s="86">
        <v>44114</v>
      </c>
      <c r="E260" s="64">
        <f t="shared" ref="E260:E323" si="29">IF(_AusgangswertKURZ="Bevölkerungsanteil",
$B$26*IF(F260=ROUNDDOWN(F260,0),F260,F260*VLOOKUP(WEEKDAY($D260,1),$A$51:$B$57,$B$1,FALSE)),
$B$17*IF(G260=ROUNDDOWN(G260,0),G260,G260*VLOOKUP(WEEKDAY($D260,1),$A$51:$B$57,$B$1,FALSE)))</f>
        <v>1251</v>
      </c>
      <c r="F260" s="101">
        <v>1251</v>
      </c>
      <c r="G260" s="140"/>
      <c r="H260" s="64">
        <f>E260/'Erkrankungs- und Strukturdaten'!$C$7</f>
        <v>2274.5454545454545</v>
      </c>
      <c r="I260" s="64">
        <f t="shared" si="24"/>
        <v>64103</v>
      </c>
      <c r="J260" s="64">
        <f t="shared" si="26"/>
        <v>0</v>
      </c>
      <c r="K260" s="101">
        <f>IFERROR(IF(D260=_Datum,Prognoseparameter!$C$14,
IF(_WachstumsrateKURZ="Bundesweit",IF(D260&gt;_Datum,
         K259+AVERAGE(F256:F259)*(1+_WR)*(1-(K259-VLOOKUP('Erkrankungs- und Strukturdaten'!$C$45,$D:$M,$K$1,FALSE))/$B$16),
         K261-$B$23*F261),
IF(D260&gt;_Datum,K259+G260,IF(G261="",K261/(K261^(1/N260)),K261-G261)))),"")</f>
        <v>0</v>
      </c>
      <c r="L260" s="64">
        <f>I260/'Erkrankungs- und Strukturdaten'!$C$7</f>
        <v>116550.90909090909</v>
      </c>
      <c r="M260" s="65">
        <f t="shared" si="27"/>
        <v>1.9903901228282315E-2</v>
      </c>
      <c r="N260" s="163">
        <v>217</v>
      </c>
      <c r="O260" s="221">
        <f t="shared" si="28"/>
        <v>1</v>
      </c>
    </row>
    <row r="261" spans="1:15" x14ac:dyDescent="0.2">
      <c r="A261" s="229"/>
      <c r="D261" s="86">
        <v>44115</v>
      </c>
      <c r="E261" s="64">
        <f t="shared" si="29"/>
        <v>812</v>
      </c>
      <c r="F261" s="101">
        <v>812</v>
      </c>
      <c r="G261" s="140"/>
      <c r="H261" s="64">
        <f>E261/'Erkrankungs- und Strukturdaten'!$C$7</f>
        <v>1476.3636363636363</v>
      </c>
      <c r="I261" s="64">
        <f t="shared" si="24"/>
        <v>64915</v>
      </c>
      <c r="J261" s="64">
        <f t="shared" si="26"/>
        <v>0</v>
      </c>
      <c r="K261" s="101">
        <f>IFERROR(IF(D261=_Datum,Prognoseparameter!$C$14,
IF(_WachstumsrateKURZ="Bundesweit",IF(D261&gt;_Datum,
         K260+AVERAGE(F257:F260)*(1+_WR)*(1-(K260-VLOOKUP('Erkrankungs- und Strukturdaten'!$C$45,$D:$M,$K$1,FALSE))/$B$16),
         K262-$B$23*F262),
IF(D261&gt;_Datum,K260+G261,IF(G262="",K262/(K262^(1/N261)),K262-G262)))),"")</f>
        <v>0</v>
      </c>
      <c r="L261" s="64">
        <f>I261/'Erkrankungs- und Strukturdaten'!$C$7</f>
        <v>118027.27272727272</v>
      </c>
      <c r="M261" s="65">
        <f t="shared" si="27"/>
        <v>1.2667113863625727E-2</v>
      </c>
      <c r="N261" s="163">
        <v>217</v>
      </c>
      <c r="O261" s="221">
        <f t="shared" si="28"/>
        <v>1</v>
      </c>
    </row>
    <row r="262" spans="1:15" x14ac:dyDescent="0.2">
      <c r="D262" s="86">
        <v>44116</v>
      </c>
      <c r="E262" s="64">
        <f t="shared" si="29"/>
        <v>2557</v>
      </c>
      <c r="F262" s="101">
        <v>2557</v>
      </c>
      <c r="G262" s="140"/>
      <c r="H262" s="64">
        <f>E262/'Erkrankungs- und Strukturdaten'!$C$7</f>
        <v>4649.090909090909</v>
      </c>
      <c r="I262" s="64">
        <f t="shared" ref="I262:I325" si="30">I261+F262</f>
        <v>67472</v>
      </c>
      <c r="J262" s="64">
        <f t="shared" si="26"/>
        <v>0</v>
      </c>
      <c r="K262" s="101">
        <f>IFERROR(IF(D262=_Datum,Prognoseparameter!$C$14,
IF(_WachstumsrateKURZ="Bundesweit",IF(D262&gt;_Datum,
         K261+AVERAGE(F258:F261)*(1+_WR)*(1-(K261-VLOOKUP('Erkrankungs- und Strukturdaten'!$C$45,$D:$M,$K$1,FALSE))/$B$16),
         K263-$B$23*F263),
IF(D262&gt;_Datum,K261+G262,IF(G263="",K263/(K263^(1/N262)),K263-G263)))),"")</f>
        <v>0</v>
      </c>
      <c r="L262" s="64">
        <f>I262/'Erkrankungs- und Strukturdaten'!$C$7</f>
        <v>122676.36363636363</v>
      </c>
      <c r="M262" s="65">
        <f t="shared" si="27"/>
        <v>3.9389971501193867E-2</v>
      </c>
      <c r="N262" s="163">
        <v>217</v>
      </c>
      <c r="O262" s="221">
        <f t="shared" si="28"/>
        <v>1</v>
      </c>
    </row>
    <row r="263" spans="1:15" x14ac:dyDescent="0.2">
      <c r="D263" s="86">
        <v>44117</v>
      </c>
      <c r="E263" s="64">
        <f t="shared" si="29"/>
        <v>2687</v>
      </c>
      <c r="F263" s="101">
        <v>2687</v>
      </c>
      <c r="G263" s="140"/>
      <c r="H263" s="64">
        <f>E263/'Erkrankungs- und Strukturdaten'!$C$7</f>
        <v>4885.454545454545</v>
      </c>
      <c r="I263" s="64">
        <f t="shared" si="30"/>
        <v>70159</v>
      </c>
      <c r="J263" s="64">
        <f t="shared" si="26"/>
        <v>0</v>
      </c>
      <c r="K263" s="101">
        <f>IFERROR(IF(D263=_Datum,Prognoseparameter!$C$14,
IF(_WachstumsrateKURZ="Bundesweit",IF(D263&gt;_Datum,
         K262+AVERAGE(F259:F262)*(1+_WR)*(1-(K262-VLOOKUP('Erkrankungs- und Strukturdaten'!$C$45,$D:$M,$K$1,FALSE))/$B$16),
         K264-$B$23*F264),
IF(D263&gt;_Datum,K262+G263,IF(G264="",K264/(K264^(1/N263)),K264-G264)))),"")</f>
        <v>0</v>
      </c>
      <c r="L263" s="64">
        <f>I263/'Erkrankungs- und Strukturdaten'!$C$7</f>
        <v>127561.81818181818</v>
      </c>
      <c r="M263" s="65">
        <f t="shared" si="27"/>
        <v>3.9823926962295468E-2</v>
      </c>
      <c r="N263" s="163">
        <v>217</v>
      </c>
      <c r="O263" s="221">
        <f t="shared" si="28"/>
        <v>1</v>
      </c>
    </row>
    <row r="264" spans="1:15" x14ac:dyDescent="0.2">
      <c r="D264" s="86">
        <v>44118</v>
      </c>
      <c r="E264" s="64">
        <f t="shared" si="29"/>
        <v>2999</v>
      </c>
      <c r="F264" s="101">
        <v>2999</v>
      </c>
      <c r="G264" s="140"/>
      <c r="H264" s="64">
        <f>E264/'Erkrankungs- und Strukturdaten'!$C$7</f>
        <v>5452.7272727272721</v>
      </c>
      <c r="I264" s="64">
        <f t="shared" si="30"/>
        <v>73158</v>
      </c>
      <c r="J264" s="64">
        <f t="shared" si="26"/>
        <v>0</v>
      </c>
      <c r="K264" s="101">
        <f>IFERROR(IF(D264=_Datum,Prognoseparameter!$C$14,
IF(_WachstumsrateKURZ="Bundesweit",IF(D264&gt;_Datum,
         K263+AVERAGE(F260:F263)*(1+_WR)*(1-(K263-VLOOKUP('Erkrankungs- und Strukturdaten'!$C$45,$D:$M,$K$1,FALSE))/$B$16),
         K265-$B$23*F265),
IF(D264&gt;_Datum,K263+G264,IF(G265="",K265/(K265^(1/N264)),K265-G265)))),"")</f>
        <v>0</v>
      </c>
      <c r="L264" s="64">
        <f>I264/'Erkrankungs- und Strukturdaten'!$C$7</f>
        <v>133014.54545454544</v>
      </c>
      <c r="M264" s="65">
        <f t="shared" si="27"/>
        <v>4.2745763195028437E-2</v>
      </c>
      <c r="N264" s="163">
        <v>217</v>
      </c>
      <c r="O264" s="221">
        <f t="shared" si="28"/>
        <v>1</v>
      </c>
    </row>
    <row r="265" spans="1:15" x14ac:dyDescent="0.2">
      <c r="D265" s="86">
        <v>44119</v>
      </c>
      <c r="E265" s="64">
        <f t="shared" si="29"/>
        <v>3393</v>
      </c>
      <c r="F265" s="101">
        <v>3393</v>
      </c>
      <c r="G265" s="140"/>
      <c r="H265" s="64">
        <f>E265/'Erkrankungs- und Strukturdaten'!$C$7</f>
        <v>6169.090909090909</v>
      </c>
      <c r="I265" s="64">
        <f t="shared" si="30"/>
        <v>76551</v>
      </c>
      <c r="J265" s="64">
        <f t="shared" si="26"/>
        <v>0</v>
      </c>
      <c r="K265" s="101">
        <f>IFERROR(IF(D265=_Datum,Prognoseparameter!$C$14,
IF(_WachstumsrateKURZ="Bundesweit",IF(D265&gt;_Datum,
         K264+AVERAGE(F261:F264)*(1+_WR)*(1-(K264-VLOOKUP('Erkrankungs- und Strukturdaten'!$C$45,$D:$M,$K$1,FALSE))/$B$16),
         K266-$B$23*F266),
IF(D265&gt;_Datum,K264+G265,IF(G266="",K266/(K266^(1/N265)),K266-G266)))),"")</f>
        <v>0</v>
      </c>
      <c r="L265" s="64">
        <f>I265/'Erkrankungs- und Strukturdaten'!$C$7</f>
        <v>139183.63636363635</v>
      </c>
      <c r="M265" s="65">
        <f t="shared" si="27"/>
        <v>4.6379069958172724E-2</v>
      </c>
      <c r="N265" s="163">
        <v>217</v>
      </c>
      <c r="O265" s="221">
        <f t="shared" si="28"/>
        <v>1</v>
      </c>
    </row>
    <row r="266" spans="1:15" x14ac:dyDescent="0.2">
      <c r="D266" s="86">
        <v>44120</v>
      </c>
      <c r="E266" s="64">
        <f t="shared" si="29"/>
        <v>3681</v>
      </c>
      <c r="F266" s="101">
        <v>3681</v>
      </c>
      <c r="G266" s="140"/>
      <c r="H266" s="64">
        <f>E266/'Erkrankungs- und Strukturdaten'!$C$7</f>
        <v>6692.7272727272721</v>
      </c>
      <c r="I266" s="64">
        <f t="shared" si="30"/>
        <v>80232</v>
      </c>
      <c r="J266" s="64">
        <f t="shared" si="26"/>
        <v>0</v>
      </c>
      <c r="K266" s="101">
        <f>IFERROR(IF(D266=_Datum,Prognoseparameter!$C$14,
IF(_WachstumsrateKURZ="Bundesweit",IF(D266&gt;_Datum,
         K265+AVERAGE(F262:F265)*(1+_WR)*(1-(K265-VLOOKUP('Erkrankungs- und Strukturdaten'!$C$45,$D:$M,$K$1,FALSE))/$B$16),
         K267-$B$23*F267),
IF(D266&gt;_Datum,K265+G266,IF(G267="",K267/(K267^(1/N266)),K267-G267)))),"")</f>
        <v>0</v>
      </c>
      <c r="L266" s="64">
        <f>I266/'Erkrankungs- und Strukturdaten'!$C$7</f>
        <v>145876.36363636362</v>
      </c>
      <c r="M266" s="65">
        <f t="shared" si="27"/>
        <v>4.8085589998824313E-2</v>
      </c>
      <c r="N266" s="163">
        <v>217</v>
      </c>
      <c r="O266" s="221">
        <f t="shared" si="28"/>
        <v>1</v>
      </c>
    </row>
    <row r="267" spans="1:15" x14ac:dyDescent="0.2">
      <c r="D267" s="86">
        <v>44121</v>
      </c>
      <c r="E267" s="64">
        <f t="shared" si="29"/>
        <v>2379</v>
      </c>
      <c r="F267" s="101">
        <v>2379</v>
      </c>
      <c r="G267" s="140"/>
      <c r="H267" s="64">
        <f>E267/'Erkrankungs- und Strukturdaten'!$C$7</f>
        <v>4325.454545454545</v>
      </c>
      <c r="I267" s="64">
        <f t="shared" si="30"/>
        <v>82611</v>
      </c>
      <c r="J267" s="64">
        <f t="shared" si="26"/>
        <v>0</v>
      </c>
      <c r="K267" s="101">
        <f>IFERROR(IF(D267=_Datum,Prognoseparameter!$C$14,
IF(_WachstumsrateKURZ="Bundesweit",IF(D267&gt;_Datum,
         K266+AVERAGE(F263:F266)*(1+_WR)*(1-(K266-VLOOKUP('Erkrankungs- und Strukturdaten'!$C$45,$D:$M,$K$1,FALSE))/$B$16),
         K268-$B$23*F268),
IF(D267&gt;_Datum,K266+G267,IF(G268="",K268/(K268^(1/N267)),K268-G268)))),"")</f>
        <v>0</v>
      </c>
      <c r="L267" s="64">
        <f>I267/'Erkrankungs- und Strukturdaten'!$C$7</f>
        <v>150201.81818181818</v>
      </c>
      <c r="M267" s="65">
        <f t="shared" si="27"/>
        <v>2.9651510619204308E-2</v>
      </c>
      <c r="N267" s="163">
        <v>217</v>
      </c>
      <c r="O267" s="221">
        <f t="shared" si="28"/>
        <v>1</v>
      </c>
    </row>
    <row r="268" spans="1:15" x14ac:dyDescent="0.2">
      <c r="D268" s="86">
        <v>44122</v>
      </c>
      <c r="E268" s="64">
        <f t="shared" si="29"/>
        <v>1786</v>
      </c>
      <c r="F268" s="101">
        <v>1786</v>
      </c>
      <c r="G268" s="140"/>
      <c r="H268" s="64">
        <f>E268/'Erkrankungs- und Strukturdaten'!$C$7</f>
        <v>3247.272727272727</v>
      </c>
      <c r="I268" s="64">
        <f t="shared" si="30"/>
        <v>84397</v>
      </c>
      <c r="J268" s="64">
        <f t="shared" si="26"/>
        <v>0</v>
      </c>
      <c r="K268" s="101">
        <f>IFERROR(IF(D268=_Datum,Prognoseparameter!$C$14,
IF(_WachstumsrateKURZ="Bundesweit",IF(D268&gt;_Datum,
         K267+AVERAGE(F264:F267)*(1+_WR)*(1-(K267-VLOOKUP('Erkrankungs- und Strukturdaten'!$C$45,$D:$M,$K$1,FALSE))/$B$16),
         K269-$B$23*F269),
IF(D268&gt;_Datum,K267+G268,IF(G269="",K269/(K269^(1/N268)),K269-G269)))),"")</f>
        <v>0</v>
      </c>
      <c r="L268" s="64">
        <f>I268/'Erkrankungs- und Strukturdaten'!$C$7</f>
        <v>153449.09090909088</v>
      </c>
      <c r="M268" s="65">
        <f t="shared" si="27"/>
        <v>2.1619396932611879E-2</v>
      </c>
      <c r="N268" s="163">
        <v>217</v>
      </c>
      <c r="O268" s="221">
        <f t="shared" si="28"/>
        <v>1</v>
      </c>
    </row>
    <row r="269" spans="1:15" x14ac:dyDescent="0.2">
      <c r="D269" s="86">
        <v>44123</v>
      </c>
      <c r="E269" s="64">
        <f t="shared" si="29"/>
        <v>5397</v>
      </c>
      <c r="F269" s="101">
        <v>5397</v>
      </c>
      <c r="G269" s="140"/>
      <c r="H269" s="64">
        <f>E269/'Erkrankungs- und Strukturdaten'!$C$7</f>
        <v>9812.7272727272721</v>
      </c>
      <c r="I269" s="64">
        <f t="shared" si="30"/>
        <v>89794</v>
      </c>
      <c r="J269" s="64">
        <f t="shared" si="26"/>
        <v>0</v>
      </c>
      <c r="K269" s="101">
        <f>IFERROR(IF(D269=_Datum,Prognoseparameter!$C$14,
IF(_WachstumsrateKURZ="Bundesweit",IF(D269&gt;_Datum,
         K268+AVERAGE(F265:F268)*(1+_WR)*(1-(K268-VLOOKUP('Erkrankungs- und Strukturdaten'!$C$45,$D:$M,$K$1,FALSE))/$B$16),
         K270-$B$23*F270),
IF(D269&gt;_Datum,K268+G269,IF(G270="",K270/(K270^(1/N269)),K270-G270)))),"")</f>
        <v>0</v>
      </c>
      <c r="L269" s="64">
        <f>I269/'Erkrankungs- und Strukturdaten'!$C$7</f>
        <v>163261.81818181818</v>
      </c>
      <c r="M269" s="65">
        <f t="shared" si="27"/>
        <v>6.3947770655355049E-2</v>
      </c>
      <c r="N269" s="163">
        <v>217</v>
      </c>
      <c r="O269" s="221">
        <f t="shared" si="28"/>
        <v>1</v>
      </c>
    </row>
    <row r="270" spans="1:15" x14ac:dyDescent="0.2">
      <c r="D270" s="86">
        <v>44124</v>
      </c>
      <c r="E270" s="64">
        <f t="shared" si="29"/>
        <v>5677</v>
      </c>
      <c r="F270" s="101">
        <v>5677</v>
      </c>
      <c r="G270" s="140"/>
      <c r="H270" s="64">
        <f>E270/'Erkrankungs- und Strukturdaten'!$C$7</f>
        <v>10321.81818181818</v>
      </c>
      <c r="I270" s="64">
        <f t="shared" si="30"/>
        <v>95471</v>
      </c>
      <c r="J270" s="64">
        <f t="shared" si="26"/>
        <v>0</v>
      </c>
      <c r="K270" s="101">
        <f>IFERROR(IF(D270=_Datum,Prognoseparameter!$C$14,
IF(_WachstumsrateKURZ="Bundesweit",IF(D270&gt;_Datum,
         K269+AVERAGE(F266:F269)*(1+_WR)*(1-(K269-VLOOKUP('Erkrankungs- und Strukturdaten'!$C$45,$D:$M,$K$1,FALSE))/$B$16),
         K271-$B$23*F271),
IF(D270&gt;_Datum,K269+G270,IF(G271="",K271/(K271^(1/N270)),K271-G271)))),"")</f>
        <v>0</v>
      </c>
      <c r="L270" s="64">
        <f>I270/'Erkrankungs- und Strukturdaten'!$C$7</f>
        <v>173583.63636363635</v>
      </c>
      <c r="M270" s="65">
        <f t="shared" si="27"/>
        <v>6.3222487025859184E-2</v>
      </c>
      <c r="N270" s="163">
        <v>217</v>
      </c>
      <c r="O270" s="221">
        <f t="shared" si="28"/>
        <v>1</v>
      </c>
    </row>
    <row r="271" spans="1:15" x14ac:dyDescent="0.2">
      <c r="D271" s="86">
        <v>44125</v>
      </c>
      <c r="E271" s="64">
        <f t="shared" si="29"/>
        <v>6451</v>
      </c>
      <c r="F271" s="101">
        <v>6451</v>
      </c>
      <c r="G271" s="140"/>
      <c r="H271" s="64">
        <f>E271/'Erkrankungs- und Strukturdaten'!$C$7</f>
        <v>11729.090909090908</v>
      </c>
      <c r="I271" s="64">
        <f t="shared" si="30"/>
        <v>101922</v>
      </c>
      <c r="J271" s="64">
        <f t="shared" si="26"/>
        <v>0</v>
      </c>
      <c r="K271" s="101">
        <f>IFERROR(IF(D271=_Datum,Prognoseparameter!$C$14,
IF(_WachstumsrateKURZ="Bundesweit",IF(D271&gt;_Datum,
         K270+AVERAGE(F267:F270)*(1+_WR)*(1-(K270-VLOOKUP('Erkrankungs- und Strukturdaten'!$C$45,$D:$M,$K$1,FALSE))/$B$16),
         K272-$B$23*F272),
IF(D271&gt;_Datum,K270+G271,IF(G272="",K272/(K272^(1/N271)),K272-G272)))),"")</f>
        <v>0</v>
      </c>
      <c r="L271" s="64">
        <f>I271/'Erkrankungs- und Strukturdaten'!$C$7</f>
        <v>185312.72727272726</v>
      </c>
      <c r="M271" s="65">
        <f t="shared" si="27"/>
        <v>6.7570256936661396E-2</v>
      </c>
      <c r="N271" s="163">
        <v>217</v>
      </c>
      <c r="O271" s="221">
        <f t="shared" si="28"/>
        <v>1</v>
      </c>
    </row>
    <row r="272" spans="1:15" x14ac:dyDescent="0.2">
      <c r="D272" s="86">
        <v>44126</v>
      </c>
      <c r="E272" s="64">
        <f t="shared" si="29"/>
        <v>6771</v>
      </c>
      <c r="F272" s="101">
        <v>6771</v>
      </c>
      <c r="G272" s="140"/>
      <c r="H272" s="64">
        <f>E272/'Erkrankungs- und Strukturdaten'!$C$7</f>
        <v>12310.90909090909</v>
      </c>
      <c r="I272" s="64">
        <f t="shared" si="30"/>
        <v>108693</v>
      </c>
      <c r="J272" s="64">
        <f t="shared" si="26"/>
        <v>0</v>
      </c>
      <c r="K272" s="101">
        <f>IFERROR(IF(D272=_Datum,Prognoseparameter!$C$14,
IF(_WachstumsrateKURZ="Bundesweit",IF(D272&gt;_Datum,
         K271+AVERAGE(F268:F271)*(1+_WR)*(1-(K271-VLOOKUP('Erkrankungs- und Strukturdaten'!$C$45,$D:$M,$K$1,FALSE))/$B$16),
         K273-$B$23*F273),
IF(D272&gt;_Datum,K271+G272,IF(G273="",K273/(K273^(1/N272)),K273-G273)))),"")</f>
        <v>0</v>
      </c>
      <c r="L272" s="64">
        <f>I272/'Erkrankungs- und Strukturdaten'!$C$7</f>
        <v>197623.63636363635</v>
      </c>
      <c r="M272" s="65">
        <f t="shared" si="27"/>
        <v>6.6433154765408842E-2</v>
      </c>
      <c r="N272" s="163">
        <v>217</v>
      </c>
      <c r="O272" s="221">
        <f t="shared" si="28"/>
        <v>1</v>
      </c>
    </row>
    <row r="273" spans="4:15" x14ac:dyDescent="0.2">
      <c r="D273" s="86">
        <v>44127</v>
      </c>
      <c r="E273" s="64">
        <f t="shared" si="29"/>
        <v>7504</v>
      </c>
      <c r="F273" s="101">
        <v>7504</v>
      </c>
      <c r="G273" s="140"/>
      <c r="H273" s="64">
        <f>E273/'Erkrankungs- und Strukturdaten'!$C$7</f>
        <v>13643.636363636362</v>
      </c>
      <c r="I273" s="64">
        <f t="shared" si="30"/>
        <v>116197</v>
      </c>
      <c r="J273" s="64">
        <f t="shared" si="26"/>
        <v>0</v>
      </c>
      <c r="K273" s="101">
        <f>IFERROR(IF(D273=_Datum,Prognoseparameter!$C$14,
IF(_WachstumsrateKURZ="Bundesweit",IF(D273&gt;_Datum,
         K272+AVERAGE(F269:F272)*(1+_WR)*(1-(K272-VLOOKUP('Erkrankungs- und Strukturdaten'!$C$45,$D:$M,$K$1,FALSE))/$B$16),
         K274-$B$23*F274),
IF(D273&gt;_Datum,K272+G273,IF(G274="",K274/(K274^(1/N273)),K274-G274)))),"")</f>
        <v>0</v>
      </c>
      <c r="L273" s="64">
        <f>I273/'Erkrankungs- und Strukturdaten'!$C$7</f>
        <v>211267.27272727271</v>
      </c>
      <c r="M273" s="65">
        <f t="shared" si="27"/>
        <v>6.9038484539022754E-2</v>
      </c>
      <c r="N273" s="163">
        <v>217</v>
      </c>
      <c r="O273" s="221">
        <f t="shared" si="28"/>
        <v>1</v>
      </c>
    </row>
    <row r="274" spans="4:15" x14ac:dyDescent="0.2">
      <c r="D274" s="86">
        <v>44128</v>
      </c>
      <c r="E274" s="64">
        <f t="shared" si="29"/>
        <v>4662</v>
      </c>
      <c r="F274" s="101">
        <v>4662</v>
      </c>
      <c r="G274" s="140"/>
      <c r="H274" s="64">
        <f>E274/'Erkrankungs- und Strukturdaten'!$C$7</f>
        <v>8476.363636363636</v>
      </c>
      <c r="I274" s="64">
        <f t="shared" si="30"/>
        <v>120859</v>
      </c>
      <c r="J274" s="64">
        <f t="shared" si="26"/>
        <v>0</v>
      </c>
      <c r="K274" s="101">
        <f>IFERROR(IF(D274=_Datum,Prognoseparameter!$C$14,
IF(_WachstumsrateKURZ="Bundesweit",IF(D274&gt;_Datum,
         K273+AVERAGE(F270:F273)*(1+_WR)*(1-(K273-VLOOKUP('Erkrankungs- und Strukturdaten'!$C$45,$D:$M,$K$1,FALSE))/$B$16),
         K275-$B$23*F275),
IF(D274&gt;_Datum,K273+G274,IF(G275="",K275/(K275^(1/N274)),K275-G275)))),"")</f>
        <v>0</v>
      </c>
      <c r="L274" s="64">
        <f>I274/'Erkrankungs- und Strukturdaten'!$C$7</f>
        <v>219743.63636363635</v>
      </c>
      <c r="M274" s="65">
        <f t="shared" si="27"/>
        <v>4.0121517767240121E-2</v>
      </c>
      <c r="N274" s="163">
        <v>217</v>
      </c>
      <c r="O274" s="221">
        <f t="shared" si="28"/>
        <v>1</v>
      </c>
    </row>
    <row r="275" spans="4:15" x14ac:dyDescent="0.2">
      <c r="D275" s="86">
        <v>44129</v>
      </c>
      <c r="E275" s="64">
        <f t="shared" si="29"/>
        <v>3208</v>
      </c>
      <c r="F275" s="101">
        <v>3208</v>
      </c>
      <c r="G275" s="140"/>
      <c r="H275" s="64">
        <f>E275/'Erkrankungs- und Strukturdaten'!$C$7</f>
        <v>5832.7272727272721</v>
      </c>
      <c r="I275" s="64">
        <f t="shared" si="30"/>
        <v>124067</v>
      </c>
      <c r="J275" s="64">
        <f t="shared" si="26"/>
        <v>0</v>
      </c>
      <c r="K275" s="101">
        <f>IFERROR(IF(D275=_Datum,Prognoseparameter!$C$14,
IF(_WachstumsrateKURZ="Bundesweit",IF(D275&gt;_Datum,
         K274+AVERAGE(F271:F274)*(1+_WR)*(1-(K274-VLOOKUP('Erkrankungs- und Strukturdaten'!$C$45,$D:$M,$K$1,FALSE))/$B$16),
         K276-$B$23*F276),
IF(D275&gt;_Datum,K274+G275,IF(G276="",K276/(K276^(1/N275)),K276-G276)))),"")</f>
        <v>0</v>
      </c>
      <c r="L275" s="64">
        <f>I275/'Erkrankungs- und Strukturdaten'!$C$7</f>
        <v>225576.36363636362</v>
      </c>
      <c r="M275" s="65">
        <f t="shared" si="27"/>
        <v>2.6543327348397719E-2</v>
      </c>
      <c r="N275" s="163">
        <v>217</v>
      </c>
      <c r="O275" s="221">
        <f t="shared" si="28"/>
        <v>1</v>
      </c>
    </row>
    <row r="276" spans="4:15" x14ac:dyDescent="0.2">
      <c r="D276" s="86">
        <v>44130</v>
      </c>
      <c r="E276" s="64">
        <f t="shared" si="29"/>
        <v>10130</v>
      </c>
      <c r="F276" s="101">
        <v>10130</v>
      </c>
      <c r="G276" s="140"/>
      <c r="H276" s="64">
        <f>E276/'Erkrankungs- und Strukturdaten'!$C$7</f>
        <v>18418.181818181816</v>
      </c>
      <c r="I276" s="64">
        <f t="shared" si="30"/>
        <v>134197</v>
      </c>
      <c r="J276" s="64">
        <f t="shared" si="26"/>
        <v>0</v>
      </c>
      <c r="K276" s="101">
        <f>IFERROR(IF(D276=_Datum,Prognoseparameter!$C$14,
IF(_WachstumsrateKURZ="Bundesweit",IF(D276&gt;_Datum,
         K275+AVERAGE(F272:F275)*(1+_WR)*(1-(K275-VLOOKUP('Erkrankungs- und Strukturdaten'!$C$45,$D:$M,$K$1,FALSE))/$B$16),
         K277-$B$23*F277),
IF(D276&gt;_Datum,K275+G276,IF(G277="",K277/(K277^(1/N276)),K277-G277)))),"")</f>
        <v>0</v>
      </c>
      <c r="L276" s="64">
        <f>I276/'Erkrankungs- und Strukturdaten'!$C$7</f>
        <v>243994.54545454544</v>
      </c>
      <c r="M276" s="65">
        <f t="shared" si="27"/>
        <v>8.1649431355638485E-2</v>
      </c>
      <c r="N276" s="163">
        <v>217</v>
      </c>
      <c r="O276" s="221">
        <f t="shared" si="28"/>
        <v>1</v>
      </c>
    </row>
    <row r="277" spans="4:15" x14ac:dyDescent="0.2">
      <c r="D277" s="86">
        <v>44131</v>
      </c>
      <c r="E277" s="64">
        <f t="shared" si="29"/>
        <v>9746</v>
      </c>
      <c r="F277" s="101">
        <v>9746</v>
      </c>
      <c r="G277" s="140"/>
      <c r="H277" s="64">
        <f>E277/'Erkrankungs- und Strukturdaten'!$C$7</f>
        <v>17720</v>
      </c>
      <c r="I277" s="64">
        <f t="shared" si="30"/>
        <v>143943</v>
      </c>
      <c r="J277" s="64">
        <f t="shared" si="26"/>
        <v>0</v>
      </c>
      <c r="K277" s="101">
        <f>IFERROR(IF(D277=_Datum,Prognoseparameter!$C$14,
IF(_WachstumsrateKURZ="Bundesweit",IF(D277&gt;_Datum,
         K276+AVERAGE(F273:F276)*(1+_WR)*(1-(K276-VLOOKUP('Erkrankungs- und Strukturdaten'!$C$45,$D:$M,$K$1,FALSE))/$B$16),
         K278-$B$23*F278),
IF(D277&gt;_Datum,K276+G277,IF(G278="",K278/(K278^(1/N277)),K278-G278)))),"")</f>
        <v>0</v>
      </c>
      <c r="L277" s="64">
        <f>I277/'Erkrankungs- und Strukturdaten'!$C$7</f>
        <v>261714.54545454544</v>
      </c>
      <c r="M277" s="65">
        <f t="shared" si="27"/>
        <v>7.2624574319843219E-2</v>
      </c>
      <c r="N277" s="163">
        <v>217</v>
      </c>
      <c r="O277" s="221">
        <f t="shared" si="28"/>
        <v>1</v>
      </c>
    </row>
    <row r="278" spans="4:15" x14ac:dyDescent="0.2">
      <c r="D278" s="86">
        <v>44132</v>
      </c>
      <c r="E278" s="64">
        <f t="shared" si="29"/>
        <v>9280</v>
      </c>
      <c r="F278" s="101">
        <v>9280</v>
      </c>
      <c r="G278" s="140"/>
      <c r="H278" s="64">
        <f>E278/'Erkrankungs- und Strukturdaten'!$C$7</f>
        <v>16872.727272727272</v>
      </c>
      <c r="I278" s="64">
        <f t="shared" si="30"/>
        <v>153223</v>
      </c>
      <c r="J278" s="64">
        <f t="shared" si="26"/>
        <v>0</v>
      </c>
      <c r="K278" s="101">
        <f>IFERROR(IF(D278=_Datum,Prognoseparameter!$C$14,
IF(_WachstumsrateKURZ="Bundesweit",IF(D278&gt;_Datum,
         K277+AVERAGE(F274:F277)*(1+_WR)*(1-(K277-VLOOKUP('Erkrankungs- und Strukturdaten'!$C$45,$D:$M,$K$1,FALSE))/$B$16),
         K279-$B$23*F279),
IF(D278&gt;_Datum,K277+G278,IF(G279="",K279/(K279^(1/N278)),K279-G279)))),"")</f>
        <v>0</v>
      </c>
      <c r="L278" s="64">
        <f>I278/'Erkrankungs- und Strukturdaten'!$C$7</f>
        <v>278587.27272727271</v>
      </c>
      <c r="M278" s="65">
        <f t="shared" si="27"/>
        <v>6.4469963805117297E-2</v>
      </c>
      <c r="N278" s="163">
        <v>217</v>
      </c>
      <c r="O278" s="221">
        <f t="shared" si="28"/>
        <v>1</v>
      </c>
    </row>
    <row r="279" spans="4:15" x14ac:dyDescent="0.2">
      <c r="D279" s="86">
        <v>44133</v>
      </c>
      <c r="E279" s="64">
        <f t="shared" si="29"/>
        <v>8973</v>
      </c>
      <c r="F279" s="101">
        <v>8973</v>
      </c>
      <c r="G279" s="140"/>
      <c r="H279" s="64">
        <f>E279/'Erkrankungs- und Strukturdaten'!$C$7</f>
        <v>16314.545454545454</v>
      </c>
      <c r="I279" s="64">
        <f t="shared" si="30"/>
        <v>162196</v>
      </c>
      <c r="J279" s="64">
        <f t="shared" si="26"/>
        <v>0</v>
      </c>
      <c r="K279" s="101">
        <f>IFERROR(IF(D279=_Datum,Prognoseparameter!$C$14,
IF(_WachstumsrateKURZ="Bundesweit",IF(D279&gt;_Datum,
         K278+AVERAGE(F275:F278)*(1+_WR)*(1-(K278-VLOOKUP('Erkrankungs- und Strukturdaten'!$C$45,$D:$M,$K$1,FALSE))/$B$16),
         K280-$B$23*F280),
IF(D279&gt;_Datum,K278+G279,IF(G280="",K280/(K280^(1/N279)),K280-G280)))),"")</f>
        <v>0</v>
      </c>
      <c r="L279" s="64">
        <f>I279/'Erkrankungs- und Strukturdaten'!$C$7</f>
        <v>294901.81818181818</v>
      </c>
      <c r="M279" s="65">
        <f t="shared" si="27"/>
        <v>5.8561704182792398E-2</v>
      </c>
      <c r="N279" s="163">
        <v>217</v>
      </c>
      <c r="O279" s="221">
        <f t="shared" si="28"/>
        <v>1</v>
      </c>
    </row>
    <row r="280" spans="4:15" x14ac:dyDescent="0.2">
      <c r="D280" s="86">
        <v>44134</v>
      </c>
      <c r="E280" s="64">
        <f t="shared" si="29"/>
        <v>8942</v>
      </c>
      <c r="F280" s="101">
        <v>8942</v>
      </c>
      <c r="G280" s="140"/>
      <c r="H280" s="64">
        <f>E280/'Erkrankungs- und Strukturdaten'!$C$7</f>
        <v>16258.181818181816</v>
      </c>
      <c r="I280" s="64">
        <f t="shared" si="30"/>
        <v>171138</v>
      </c>
      <c r="J280" s="64">
        <f t="shared" si="26"/>
        <v>0</v>
      </c>
      <c r="K280" s="101">
        <f>IFERROR(IF(D280=_Datum,Prognoseparameter!$C$14,
IF(_WachstumsrateKURZ="Bundesweit",IF(D280&gt;_Datum,
         K279+AVERAGE(F276:F279)*(1+_WR)*(1-(K279-VLOOKUP('Erkrankungs- und Strukturdaten'!$C$45,$D:$M,$K$1,FALSE))/$B$16),
         K281-$B$23*F281),
IF(D280&gt;_Datum,K279+G280,IF(G281="",K281/(K281^(1/N280)),K281-G281)))),"")</f>
        <v>0</v>
      </c>
      <c r="L280" s="64">
        <f>I280/'Erkrankungs- und Strukturdaten'!$C$7</f>
        <v>311160</v>
      </c>
      <c r="M280" s="65">
        <f t="shared" si="27"/>
        <v>5.5130829366938763E-2</v>
      </c>
      <c r="N280" s="163">
        <v>217</v>
      </c>
      <c r="O280" s="221">
        <f t="shared" si="28"/>
        <v>1</v>
      </c>
    </row>
    <row r="281" spans="4:15" x14ac:dyDescent="0.2">
      <c r="D281" s="86">
        <v>44135</v>
      </c>
      <c r="E281" s="64">
        <f t="shared" si="29"/>
        <v>5128</v>
      </c>
      <c r="F281" s="101">
        <v>5128</v>
      </c>
      <c r="G281" s="140"/>
      <c r="H281" s="64">
        <f>E281/'Erkrankungs- und Strukturdaten'!$C$7</f>
        <v>9323.6363636363621</v>
      </c>
      <c r="I281" s="64">
        <f t="shared" si="30"/>
        <v>176266</v>
      </c>
      <c r="J281" s="64">
        <f t="shared" si="26"/>
        <v>0</v>
      </c>
      <c r="K281" s="101">
        <f>IFERROR(IF(D281=_Datum,Prognoseparameter!$C$14,
IF(_WachstumsrateKURZ="Bundesweit",IF(D281&gt;_Datum,
         K280+AVERAGE(F277:F280)*(1+_WR)*(1-(K280-VLOOKUP('Erkrankungs- und Strukturdaten'!$C$45,$D:$M,$K$1,FALSE))/$B$16),
         K282-$B$23*F282),
IF(D281&gt;_Datum,K280+G281,IF(G282="",K282/(K282^(1/N281)),K282-G282)))),"")</f>
        <v>0</v>
      </c>
      <c r="L281" s="64">
        <f>I281/'Erkrankungs- und Strukturdaten'!$C$7</f>
        <v>320483.63636363635</v>
      </c>
      <c r="M281" s="65">
        <f t="shared" si="27"/>
        <v>2.9964122521006439E-2</v>
      </c>
      <c r="N281" s="163">
        <v>217</v>
      </c>
      <c r="O281" s="221">
        <f t="shared" si="28"/>
        <v>1</v>
      </c>
    </row>
    <row r="282" spans="4:15" x14ac:dyDescent="0.2">
      <c r="D282" s="86">
        <v>44136</v>
      </c>
      <c r="E282" s="64">
        <f t="shared" si="29"/>
        <v>3626</v>
      </c>
      <c r="F282" s="101">
        <v>3626</v>
      </c>
      <c r="G282" s="140"/>
      <c r="H282" s="64">
        <f>E282/'Erkrankungs- und Strukturdaten'!$C$7</f>
        <v>6592.7272727272721</v>
      </c>
      <c r="I282" s="64">
        <f t="shared" si="30"/>
        <v>179892</v>
      </c>
      <c r="J282" s="64">
        <f t="shared" si="26"/>
        <v>0</v>
      </c>
      <c r="K282" s="101">
        <f>IFERROR(IF(D282=_Datum,Prognoseparameter!$C$14,
IF(_WachstumsrateKURZ="Bundesweit",IF(D282&gt;_Datum,
         K281+AVERAGE(F278:F281)*(1+_WR)*(1-(K281-VLOOKUP('Erkrankungs- und Strukturdaten'!$C$45,$D:$M,$K$1,FALSE))/$B$16),
         K283-$B$23*F283),
IF(D282&gt;_Datum,K281+G282,IF(G283="",K283/(K283^(1/N282)),K283-G283)))),"")</f>
        <v>0</v>
      </c>
      <c r="L282" s="64">
        <f>I282/'Erkrankungs- und Strukturdaten'!$C$7</f>
        <v>327076.36363636359</v>
      </c>
      <c r="M282" s="65">
        <f t="shared" si="27"/>
        <v>2.0571182190552914E-2</v>
      </c>
      <c r="N282" s="163">
        <v>217</v>
      </c>
      <c r="O282" s="221">
        <f t="shared" si="28"/>
        <v>1</v>
      </c>
    </row>
    <row r="283" spans="4:15" x14ac:dyDescent="0.2">
      <c r="D283" s="86">
        <v>44137</v>
      </c>
      <c r="E283" s="64">
        <f t="shared" si="29"/>
        <v>10514</v>
      </c>
      <c r="F283" s="101">
        <v>10514</v>
      </c>
      <c r="G283" s="140"/>
      <c r="H283" s="64">
        <f>E283/'Erkrankungs- und Strukturdaten'!$C$7</f>
        <v>19116.363636363636</v>
      </c>
      <c r="I283" s="64">
        <f t="shared" si="30"/>
        <v>190406</v>
      </c>
      <c r="J283" s="64">
        <f t="shared" si="26"/>
        <v>0</v>
      </c>
      <c r="K283" s="101">
        <f>IFERROR(IF(D283=_Datum,Prognoseparameter!$C$14,
IF(_WachstumsrateKURZ="Bundesweit",IF(D283&gt;_Datum,
         K282+AVERAGE(F279:F282)*(1+_WR)*(1-(K282-VLOOKUP('Erkrankungs- und Strukturdaten'!$C$45,$D:$M,$K$1,FALSE))/$B$16),
         K284-$B$23*F284),
IF(D283&gt;_Datum,K282+G283,IF(G284="",K284/(K284^(1/N283)),K284-G284)))),"")</f>
        <v>0</v>
      </c>
      <c r="L283" s="64">
        <f>I283/'Erkrankungs- und Strukturdaten'!$C$7</f>
        <v>346192.72727272724</v>
      </c>
      <c r="M283" s="65">
        <f t="shared" si="27"/>
        <v>5.8446178818402153E-2</v>
      </c>
      <c r="N283" s="163">
        <v>217</v>
      </c>
      <c r="O283" s="221">
        <f t="shared" si="28"/>
        <v>1</v>
      </c>
    </row>
    <row r="284" spans="4:15" x14ac:dyDescent="0.2">
      <c r="D284" s="86">
        <v>44138</v>
      </c>
      <c r="E284" s="64">
        <f t="shared" si="29"/>
        <v>9596</v>
      </c>
      <c r="F284" s="101">
        <v>9596</v>
      </c>
      <c r="G284" s="140"/>
      <c r="H284" s="64">
        <f>E284/'Erkrankungs- und Strukturdaten'!$C$7</f>
        <v>17447.272727272724</v>
      </c>
      <c r="I284" s="64">
        <f t="shared" si="30"/>
        <v>200002</v>
      </c>
      <c r="J284" s="64">
        <f t="shared" si="26"/>
        <v>0</v>
      </c>
      <c r="K284" s="101">
        <f>IFERROR(IF(D284=_Datum,Prognoseparameter!$C$14,
IF(_WachstumsrateKURZ="Bundesweit",IF(D284&gt;_Datum,
         K283+AVERAGE(F280:F283)*(1+_WR)*(1-(K283-VLOOKUP('Erkrankungs- und Strukturdaten'!$C$45,$D:$M,$K$1,FALSE))/$B$16),
         K285-$B$23*F285),
IF(D284&gt;_Datum,K283+G284,IF(G285="",K285/(K285^(1/N284)),K285-G285)))),"")</f>
        <v>0</v>
      </c>
      <c r="L284" s="64">
        <f>I284/'Erkrankungs- und Strukturdaten'!$C$7</f>
        <v>363639.99999999994</v>
      </c>
      <c r="M284" s="65">
        <f t="shared" si="27"/>
        <v>5.0397571505099631E-2</v>
      </c>
      <c r="N284" s="163">
        <v>217</v>
      </c>
      <c r="O284" s="221">
        <f t="shared" si="28"/>
        <v>1</v>
      </c>
    </row>
    <row r="285" spans="4:15" x14ac:dyDescent="0.2">
      <c r="D285" s="86">
        <v>44139</v>
      </c>
      <c r="E285" s="64">
        <f t="shared" si="29"/>
        <v>8707</v>
      </c>
      <c r="F285" s="101">
        <v>8707</v>
      </c>
      <c r="G285" s="140"/>
      <c r="H285" s="64">
        <f>E285/'Erkrankungs- und Strukturdaten'!$C$7</f>
        <v>15830.90909090909</v>
      </c>
      <c r="I285" s="64">
        <f t="shared" si="30"/>
        <v>208709</v>
      </c>
      <c r="J285" s="64">
        <f t="shared" ref="J285:J329" si="31">J284+G285</f>
        <v>0</v>
      </c>
      <c r="K285" s="101">
        <f>IFERROR(IF(D285=_Datum,Prognoseparameter!$C$14,
IF(_WachstumsrateKURZ="Bundesweit",IF(D285&gt;_Datum,
         K284+AVERAGE(F281:F284)*(1+_WR)*(1-(K284-VLOOKUP('Erkrankungs- und Strukturdaten'!$C$45,$D:$M,$K$1,FALSE))/$B$16),
         K286-$B$23*F286),
IF(D285&gt;_Datum,K284+G285,IF(G286="",K286/(K286^(1/N285)),K286-G286)))),"")</f>
        <v>0</v>
      </c>
      <c r="L285" s="64">
        <f>I285/'Erkrankungs- und Strukturdaten'!$C$7</f>
        <v>379470.90909090906</v>
      </c>
      <c r="M285" s="65">
        <f t="shared" ref="M285:M329" si="32">IFERROR((I285-I284)/I284,0)</f>
        <v>4.3534564654353458E-2</v>
      </c>
      <c r="N285" s="163">
        <v>217</v>
      </c>
      <c r="O285" s="221">
        <f t="shared" ref="O285:O329" si="33">IF(F285=ROUNDDOWN(F285,0),1,0)</f>
        <v>1</v>
      </c>
    </row>
    <row r="286" spans="4:15" x14ac:dyDescent="0.2">
      <c r="D286" s="86">
        <v>44140</v>
      </c>
      <c r="E286" s="64">
        <f t="shared" si="29"/>
        <v>7828</v>
      </c>
      <c r="F286" s="101">
        <v>7828</v>
      </c>
      <c r="G286" s="140"/>
      <c r="H286" s="64">
        <f>E286/'Erkrankungs- und Strukturdaten'!$C$7</f>
        <v>14232.727272727272</v>
      </c>
      <c r="I286" s="64">
        <f t="shared" si="30"/>
        <v>216537</v>
      </c>
      <c r="J286" s="64">
        <f t="shared" si="31"/>
        <v>0</v>
      </c>
      <c r="K286" s="101">
        <f>IFERROR(IF(D286=_Datum,Prognoseparameter!$C$14,
IF(_WachstumsrateKURZ="Bundesweit",IF(D286&gt;_Datum,
         K285+AVERAGE(F282:F285)*(1+_WR)*(1-(K285-VLOOKUP('Erkrankungs- und Strukturdaten'!$C$45,$D:$M,$K$1,FALSE))/$B$16),
         K287-$B$23*F287),
IF(D286&gt;_Datum,K285+G286,IF(G287="",K287/(K287^(1/N286)),K287-G287)))),"")</f>
        <v>0</v>
      </c>
      <c r="L286" s="64">
        <f>I286/'Erkrankungs- und Strukturdaten'!$C$7</f>
        <v>393703.63636363635</v>
      </c>
      <c r="M286" s="65">
        <f t="shared" si="32"/>
        <v>3.7506767796309695E-2</v>
      </c>
      <c r="N286" s="163">
        <v>217</v>
      </c>
      <c r="O286" s="221">
        <f t="shared" si="33"/>
        <v>1</v>
      </c>
    </row>
    <row r="287" spans="4:15" x14ac:dyDescent="0.2">
      <c r="D287" s="86">
        <v>44141</v>
      </c>
      <c r="E287" s="64">
        <f t="shared" si="29"/>
        <v>7377</v>
      </c>
      <c r="F287" s="101">
        <v>7377</v>
      </c>
      <c r="G287" s="140"/>
      <c r="H287" s="64">
        <f>E287/'Erkrankungs- und Strukturdaten'!$C$7</f>
        <v>13412.727272727272</v>
      </c>
      <c r="I287" s="64">
        <f t="shared" si="30"/>
        <v>223914</v>
      </c>
      <c r="J287" s="64">
        <f t="shared" si="31"/>
        <v>0</v>
      </c>
      <c r="K287" s="101">
        <f>IFERROR(IF(D287=_Datum,Prognoseparameter!$C$14,
IF(_WachstumsrateKURZ="Bundesweit",IF(D287&gt;_Datum,
         K286+AVERAGE(F283:F286)*(1+_WR)*(1-(K286-VLOOKUP('Erkrankungs- und Strukturdaten'!$C$45,$D:$M,$K$1,FALSE))/$B$16),
         K288-$B$23*F288),
IF(D287&gt;_Datum,K286+G287,IF(G288="",K288/(K288^(1/N287)),K288-G288)))),"")</f>
        <v>0</v>
      </c>
      <c r="L287" s="64">
        <f>I287/'Erkrankungs- und Strukturdaten'!$C$7</f>
        <v>407116.36363636359</v>
      </c>
      <c r="M287" s="65">
        <f t="shared" si="32"/>
        <v>3.4068080743706618E-2</v>
      </c>
      <c r="N287" s="163">
        <v>217</v>
      </c>
      <c r="O287" s="221">
        <f t="shared" si="33"/>
        <v>1</v>
      </c>
    </row>
    <row r="288" spans="4:15" x14ac:dyDescent="0.2">
      <c r="D288" s="86">
        <v>44142</v>
      </c>
      <c r="E288" s="64">
        <f t="shared" si="29"/>
        <v>4189</v>
      </c>
      <c r="F288" s="101">
        <v>4189</v>
      </c>
      <c r="G288" s="140"/>
      <c r="H288" s="64">
        <f>E288/'Erkrankungs- und Strukturdaten'!$C$7</f>
        <v>7616.363636363636</v>
      </c>
      <c r="I288" s="64">
        <f t="shared" si="30"/>
        <v>228103</v>
      </c>
      <c r="J288" s="64">
        <f t="shared" si="31"/>
        <v>0</v>
      </c>
      <c r="K288" s="101">
        <f>IFERROR(IF(D288=_Datum,Prognoseparameter!$C$14,
IF(_WachstumsrateKURZ="Bundesweit",IF(D288&gt;_Datum,
         K287+AVERAGE(F284:F287)*(1+_WR)*(1-(K287-VLOOKUP('Erkrankungs- und Strukturdaten'!$C$45,$D:$M,$K$1,FALSE))/$B$16),
         K289-$B$23*F289),
IF(D288&gt;_Datum,K287+G288,IF(G289="",K289/(K289^(1/N288)),K289-G289)))),"")</f>
        <v>0</v>
      </c>
      <c r="L288" s="64">
        <f>I288/'Erkrankungs- und Strukturdaten'!$C$7</f>
        <v>414732.72727272724</v>
      </c>
      <c r="M288" s="65">
        <f t="shared" si="32"/>
        <v>1.8708075421813731E-2</v>
      </c>
      <c r="N288" s="163">
        <v>217</v>
      </c>
      <c r="O288" s="221">
        <f t="shared" si="33"/>
        <v>1</v>
      </c>
    </row>
    <row r="289" spans="4:15" x14ac:dyDescent="0.2">
      <c r="D289" s="86">
        <v>44143</v>
      </c>
      <c r="E289" s="64">
        <f t="shared" si="29"/>
        <v>2979</v>
      </c>
      <c r="F289" s="101">
        <v>2979</v>
      </c>
      <c r="G289" s="140"/>
      <c r="H289" s="64">
        <f>E289/'Erkrankungs- und Strukturdaten'!$C$7</f>
        <v>5416.363636363636</v>
      </c>
      <c r="I289" s="64">
        <f t="shared" si="30"/>
        <v>231082</v>
      </c>
      <c r="J289" s="64">
        <f t="shared" si="31"/>
        <v>0</v>
      </c>
      <c r="K289" s="101">
        <f>IFERROR(IF(D289=_Datum,Prognoseparameter!$C$14,
IF(_WachstumsrateKURZ="Bundesweit",IF(D289&gt;_Datum,
         K288+AVERAGE(F285:F288)*(1+_WR)*(1-(K288-VLOOKUP('Erkrankungs- und Strukturdaten'!$C$45,$D:$M,$K$1,FALSE))/$B$16),
         K290-$B$23*F290),
IF(D289&gt;_Datum,K288+G289,IF(G290="",K290/(K290^(1/N289)),K290-G290)))),"")</f>
        <v>0</v>
      </c>
      <c r="L289" s="64">
        <f>I289/'Erkrankungs- und Strukturdaten'!$C$7</f>
        <v>420149.09090909088</v>
      </c>
      <c r="M289" s="65">
        <f t="shared" si="32"/>
        <v>1.3059889611272101E-2</v>
      </c>
      <c r="N289" s="163">
        <v>217</v>
      </c>
      <c r="O289" s="221">
        <f t="shared" si="33"/>
        <v>1</v>
      </c>
    </row>
    <row r="290" spans="4:15" x14ac:dyDescent="0.2">
      <c r="D290" s="86">
        <v>44144</v>
      </c>
      <c r="E290" s="64">
        <f t="shared" si="29"/>
        <v>8683</v>
      </c>
      <c r="F290" s="101">
        <v>8683</v>
      </c>
      <c r="G290" s="140"/>
      <c r="H290" s="64">
        <f>E290/'Erkrankungs- und Strukturdaten'!$C$7</f>
        <v>15787.272727272726</v>
      </c>
      <c r="I290" s="64">
        <f t="shared" si="30"/>
        <v>239765</v>
      </c>
      <c r="J290" s="64">
        <f t="shared" si="31"/>
        <v>0</v>
      </c>
      <c r="K290" s="101">
        <f>IFERROR(IF(D290=_Datum,Prognoseparameter!$C$14,
IF(_WachstumsrateKURZ="Bundesweit",IF(D290&gt;_Datum,
         K289+AVERAGE(F286:F289)*(1+_WR)*(1-(K289-VLOOKUP('Erkrankungs- und Strukturdaten'!$C$45,$D:$M,$K$1,FALSE))/$B$16),
         K291-$B$23*F291),
IF(D290&gt;_Datum,K289+G290,IF(G291="",K291/(K291^(1/N290)),K291-G291)))),"")</f>
        <v>0</v>
      </c>
      <c r="L290" s="64">
        <f>I290/'Erkrankungs- und Strukturdaten'!$C$7</f>
        <v>435936.36363636359</v>
      </c>
      <c r="M290" s="65">
        <f t="shared" si="32"/>
        <v>3.7575406132887894E-2</v>
      </c>
      <c r="N290" s="163">
        <v>217</v>
      </c>
      <c r="O290" s="221">
        <f t="shared" si="33"/>
        <v>1</v>
      </c>
    </row>
    <row r="291" spans="4:15" x14ac:dyDescent="0.2">
      <c r="D291" s="86">
        <v>44145</v>
      </c>
      <c r="E291" s="64">
        <f t="shared" si="29"/>
        <v>7387</v>
      </c>
      <c r="F291" s="101">
        <v>7387</v>
      </c>
      <c r="G291" s="140"/>
      <c r="H291" s="64">
        <f>E291/'Erkrankungs- und Strukturdaten'!$C$7</f>
        <v>13430.90909090909</v>
      </c>
      <c r="I291" s="64">
        <f t="shared" si="30"/>
        <v>247152</v>
      </c>
      <c r="J291" s="64">
        <f t="shared" si="31"/>
        <v>0</v>
      </c>
      <c r="K291" s="101">
        <f>IFERROR(IF(D291=_Datum,Prognoseparameter!$C$14,
IF(_WachstumsrateKURZ="Bundesweit",IF(D291&gt;_Datum,
         K290+AVERAGE(F287:F290)*(1+_WR)*(1-(K290-VLOOKUP('Erkrankungs- und Strukturdaten'!$C$45,$D:$M,$K$1,FALSE))/$B$16),
         K292-$B$23*F292),
IF(D291&gt;_Datum,K290+G291,IF(G292="",K292/(K292^(1/N291)),K292-G292)))),"")</f>
        <v>0</v>
      </c>
      <c r="L291" s="64">
        <f>I291/'Erkrankungs- und Strukturdaten'!$C$7</f>
        <v>449367.27272727271</v>
      </c>
      <c r="M291" s="65">
        <f t="shared" si="32"/>
        <v>3.0809334139678436E-2</v>
      </c>
      <c r="N291" s="163">
        <v>217</v>
      </c>
      <c r="O291" s="221">
        <f t="shared" si="33"/>
        <v>1</v>
      </c>
    </row>
    <row r="292" spans="4:15" x14ac:dyDescent="0.2">
      <c r="D292" s="86">
        <v>44146</v>
      </c>
      <c r="E292" s="64">
        <f t="shared" si="29"/>
        <v>6355</v>
      </c>
      <c r="F292" s="101">
        <v>6355</v>
      </c>
      <c r="G292" s="140"/>
      <c r="H292" s="64">
        <f>E292/'Erkrankungs- und Strukturdaten'!$C$7</f>
        <v>11554.545454545454</v>
      </c>
      <c r="I292" s="64">
        <f t="shared" si="30"/>
        <v>253507</v>
      </c>
      <c r="J292" s="64">
        <f t="shared" si="31"/>
        <v>0</v>
      </c>
      <c r="K292" s="101">
        <f>IFERROR(IF(D292=_Datum,Prognoseparameter!$C$14,
IF(_WachstumsrateKURZ="Bundesweit",IF(D292&gt;_Datum,
         K291+AVERAGE(F288:F291)*(1+_WR)*(1-(K291-VLOOKUP('Erkrankungs- und Strukturdaten'!$C$45,$D:$M,$K$1,FALSE))/$B$16),
         K293-$B$23*F293),
IF(D292&gt;_Datum,K291+G292,IF(G293="",K293/(K293^(1/N292)),K293-G293)))),"")</f>
        <v>0</v>
      </c>
      <c r="L292" s="64">
        <f>I292/'Erkrankungs- und Strukturdaten'!$C$7</f>
        <v>460921.81818181812</v>
      </c>
      <c r="M292" s="65">
        <f t="shared" si="32"/>
        <v>2.571292160290024E-2</v>
      </c>
      <c r="N292" s="163">
        <v>217</v>
      </c>
      <c r="O292" s="221">
        <f t="shared" si="33"/>
        <v>1</v>
      </c>
    </row>
    <row r="293" spans="4:15" x14ac:dyDescent="0.2">
      <c r="D293" s="86">
        <v>44147</v>
      </c>
      <c r="E293" s="64">
        <f t="shared" si="29"/>
        <v>5962</v>
      </c>
      <c r="F293" s="101">
        <v>5962</v>
      </c>
      <c r="G293" s="140"/>
      <c r="H293" s="64">
        <f>E293/'Erkrankungs- und Strukturdaten'!$C$7</f>
        <v>10840</v>
      </c>
      <c r="I293" s="64">
        <f t="shared" si="30"/>
        <v>259469</v>
      </c>
      <c r="J293" s="64">
        <f t="shared" si="31"/>
        <v>0</v>
      </c>
      <c r="K293" s="101">
        <f>IFERROR(IF(D293=_Datum,Prognoseparameter!$C$14,
IF(_WachstumsrateKURZ="Bundesweit",IF(D293&gt;_Datum,
         K292+AVERAGE(F289:F292)*(1+_WR)*(1-(K292-VLOOKUP('Erkrankungs- und Strukturdaten'!$C$45,$D:$M,$K$1,FALSE))/$B$16),
         K294-$B$23*F294),
IF(D293&gt;_Datum,K292+G293,IF(G294="",K294/(K294^(1/N293)),K294-G294)))),"")</f>
        <v>0</v>
      </c>
      <c r="L293" s="64">
        <f>I293/'Erkrankungs- und Strukturdaten'!$C$7</f>
        <v>471761.81818181812</v>
      </c>
      <c r="M293" s="65">
        <f t="shared" si="32"/>
        <v>2.3518088257917926E-2</v>
      </c>
      <c r="N293" s="163">
        <v>217</v>
      </c>
      <c r="O293" s="221">
        <f t="shared" si="33"/>
        <v>1</v>
      </c>
    </row>
    <row r="294" spans="4:15" x14ac:dyDescent="0.2">
      <c r="D294" s="86">
        <v>44148</v>
      </c>
      <c r="E294" s="64">
        <f t="shared" si="29"/>
        <v>5679</v>
      </c>
      <c r="F294" s="101">
        <v>5679</v>
      </c>
      <c r="G294" s="140"/>
      <c r="H294" s="64">
        <f>E294/'Erkrankungs- und Strukturdaten'!$C$7</f>
        <v>10325.454545454544</v>
      </c>
      <c r="I294" s="64">
        <f t="shared" si="30"/>
        <v>265148</v>
      </c>
      <c r="J294" s="64">
        <f t="shared" si="31"/>
        <v>0</v>
      </c>
      <c r="K294" s="101">
        <f>IFERROR(IF(D294=_Datum,Prognoseparameter!$C$14,
IF(_WachstumsrateKURZ="Bundesweit",IF(D294&gt;_Datum,
         K293+AVERAGE(F290:F293)*(1+_WR)*(1-(K293-VLOOKUP('Erkrankungs- und Strukturdaten'!$C$45,$D:$M,$K$1,FALSE))/$B$16),
         K295-$B$23*F295),
IF(D294&gt;_Datum,K293+G294,IF(G295="",K295/(K295^(1/N294)),K295-G295)))),"")</f>
        <v>0</v>
      </c>
      <c r="L294" s="64">
        <f>I294/'Erkrankungs- und Strukturdaten'!$C$7</f>
        <v>482087.27272727271</v>
      </c>
      <c r="M294" s="65">
        <f t="shared" si="32"/>
        <v>2.1887007696487826E-2</v>
      </c>
      <c r="N294" s="163">
        <v>217</v>
      </c>
      <c r="O294" s="221">
        <f t="shared" si="33"/>
        <v>1</v>
      </c>
    </row>
    <row r="295" spans="4:15" x14ac:dyDescent="0.2">
      <c r="D295" s="86">
        <v>44149</v>
      </c>
      <c r="E295" s="64">
        <f t="shared" si="29"/>
        <v>3204</v>
      </c>
      <c r="F295" s="101">
        <v>3204</v>
      </c>
      <c r="G295" s="140"/>
      <c r="H295" s="64">
        <f>E295/'Erkrankungs- und Strukturdaten'!$C$7</f>
        <v>5825.454545454545</v>
      </c>
      <c r="I295" s="64">
        <f t="shared" si="30"/>
        <v>268352</v>
      </c>
      <c r="J295" s="64">
        <f t="shared" si="31"/>
        <v>0</v>
      </c>
      <c r="K295" s="101">
        <f>IFERROR(IF(D295=_Datum,Prognoseparameter!$C$14,
IF(_WachstumsrateKURZ="Bundesweit",IF(D295&gt;_Datum,
         K294+AVERAGE(F291:F294)*(1+_WR)*(1-(K294-VLOOKUP('Erkrankungs- und Strukturdaten'!$C$45,$D:$M,$K$1,FALSE))/$B$16),
         K296-$B$23*F296),
IF(D295&gt;_Datum,K294+G295,IF(G296="",K296/(K296^(1/N295)),K296-G296)))),"")</f>
        <v>0</v>
      </c>
      <c r="L295" s="64">
        <f>I295/'Erkrankungs- und Strukturdaten'!$C$7</f>
        <v>487912.72727272724</v>
      </c>
      <c r="M295" s="65">
        <f t="shared" si="32"/>
        <v>1.2083817339749876E-2</v>
      </c>
      <c r="N295" s="163">
        <v>217</v>
      </c>
      <c r="O295" s="221">
        <f t="shared" si="33"/>
        <v>1</v>
      </c>
    </row>
    <row r="296" spans="4:15" x14ac:dyDescent="0.2">
      <c r="D296" s="86">
        <v>44150</v>
      </c>
      <c r="E296" s="64">
        <f t="shared" si="29"/>
        <v>2314</v>
      </c>
      <c r="F296" s="101">
        <v>2314</v>
      </c>
      <c r="G296" s="140"/>
      <c r="H296" s="64">
        <f>E296/'Erkrankungs- und Strukturdaten'!$C$7</f>
        <v>4207.272727272727</v>
      </c>
      <c r="I296" s="64">
        <f t="shared" si="30"/>
        <v>270666</v>
      </c>
      <c r="J296" s="64">
        <f t="shared" si="31"/>
        <v>0</v>
      </c>
      <c r="K296" s="101">
        <f>IFERROR(IF(D296=_Datum,Prognoseparameter!$C$14,
IF(_WachstumsrateKURZ="Bundesweit",IF(D296&gt;_Datum,
         K295+AVERAGE(F292:F295)*(1+_WR)*(1-(K295-VLOOKUP('Erkrankungs- und Strukturdaten'!$C$45,$D:$M,$K$1,FALSE))/$B$16),
         K297-$B$23*F297),
IF(D296&gt;_Datum,K295+G296,IF(G297="",K297/(K297^(1/N296)),K297-G297)))),"")</f>
        <v>0</v>
      </c>
      <c r="L296" s="64">
        <f>I296/'Erkrankungs- und Strukturdaten'!$C$7</f>
        <v>492119.99999999994</v>
      </c>
      <c r="M296" s="65">
        <f t="shared" si="32"/>
        <v>8.6230026234199852E-3</v>
      </c>
      <c r="N296" s="163">
        <v>217</v>
      </c>
      <c r="O296" s="221">
        <f t="shared" si="33"/>
        <v>1</v>
      </c>
    </row>
    <row r="297" spans="4:15" x14ac:dyDescent="0.2">
      <c r="D297" s="86">
        <v>44151</v>
      </c>
      <c r="E297" s="64">
        <f t="shared" si="29"/>
        <v>6583</v>
      </c>
      <c r="F297" s="101">
        <v>6583</v>
      </c>
      <c r="G297" s="140"/>
      <c r="H297" s="64">
        <f>E297/'Erkrankungs- und Strukturdaten'!$C$7</f>
        <v>11969.090909090908</v>
      </c>
      <c r="I297" s="64">
        <f t="shared" si="30"/>
        <v>277249</v>
      </c>
      <c r="J297" s="64">
        <f t="shared" si="31"/>
        <v>0</v>
      </c>
      <c r="K297" s="101">
        <f>IFERROR(IF(D297=_Datum,Prognoseparameter!$C$14,
IF(_WachstumsrateKURZ="Bundesweit",IF(D297&gt;_Datum,
         K296+AVERAGE(F293:F296)*(1+_WR)*(1-(K296-VLOOKUP('Erkrankungs- und Strukturdaten'!$C$45,$D:$M,$K$1,FALSE))/$B$16),
         K298-$B$23*F298),
IF(D297&gt;_Datum,K296+G297,IF(G298="",K298/(K298^(1/N297)),K298-G298)))),"")</f>
        <v>0</v>
      </c>
      <c r="L297" s="64">
        <f>I297/'Erkrankungs- und Strukturdaten'!$C$7</f>
        <v>504089.09090909088</v>
      </c>
      <c r="M297" s="65">
        <f t="shared" si="32"/>
        <v>2.4321488476572603E-2</v>
      </c>
      <c r="N297" s="163">
        <v>217</v>
      </c>
      <c r="O297" s="221">
        <f t="shared" si="33"/>
        <v>1</v>
      </c>
    </row>
    <row r="298" spans="4:15" x14ac:dyDescent="0.2">
      <c r="D298" s="86">
        <v>44152</v>
      </c>
      <c r="E298" s="64">
        <f t="shared" si="29"/>
        <v>5418</v>
      </c>
      <c r="F298" s="101">
        <v>5418</v>
      </c>
      <c r="G298" s="140"/>
      <c r="H298" s="64">
        <f>E298/'Erkrankungs- und Strukturdaten'!$C$7</f>
        <v>9850.9090909090901</v>
      </c>
      <c r="I298" s="64">
        <f t="shared" si="30"/>
        <v>282667</v>
      </c>
      <c r="J298" s="64">
        <f t="shared" si="31"/>
        <v>0</v>
      </c>
      <c r="K298" s="101">
        <f>IFERROR(IF(D298=_Datum,Prognoseparameter!$C$14,
IF(_WachstumsrateKURZ="Bundesweit",IF(D298&gt;_Datum,
         K297+AVERAGE(F294:F297)*(1+_WR)*(1-(K297-VLOOKUP('Erkrankungs- und Strukturdaten'!$C$45,$D:$M,$K$1,FALSE))/$B$16),
         K299-$B$23*F299),
IF(D298&gt;_Datum,K297+G298,IF(G299="",K299/(K299^(1/N298)),K299-G299)))),"")</f>
        <v>0</v>
      </c>
      <c r="L298" s="64">
        <f>I298/'Erkrankungs- und Strukturdaten'!$C$7</f>
        <v>513939.99999999994</v>
      </c>
      <c r="M298" s="65">
        <f t="shared" si="32"/>
        <v>1.9542000151488374E-2</v>
      </c>
      <c r="N298" s="163">
        <v>217</v>
      </c>
      <c r="O298" s="221">
        <f t="shared" si="33"/>
        <v>1</v>
      </c>
    </row>
    <row r="299" spans="4:15" x14ac:dyDescent="0.2">
      <c r="D299" s="86">
        <v>44153</v>
      </c>
      <c r="E299" s="64">
        <f t="shared" si="29"/>
        <v>4858</v>
      </c>
      <c r="F299" s="101">
        <v>4858</v>
      </c>
      <c r="G299" s="140"/>
      <c r="H299" s="64">
        <f>E299/'Erkrankungs- und Strukturdaten'!$C$7</f>
        <v>8832.7272727272721</v>
      </c>
      <c r="I299" s="64">
        <f t="shared" si="30"/>
        <v>287525</v>
      </c>
      <c r="J299" s="64">
        <f t="shared" si="31"/>
        <v>0</v>
      </c>
      <c r="K299" s="101">
        <f>IFERROR(IF(D299=_Datum,Prognoseparameter!$C$14,
IF(_WachstumsrateKURZ="Bundesweit",IF(D299&gt;_Datum,
         K298+AVERAGE(F295:F298)*(1+_WR)*(1-(K298-VLOOKUP('Erkrankungs- und Strukturdaten'!$C$45,$D:$M,$K$1,FALSE))/$B$16),
         K300-$B$23*F300),
IF(D299&gt;_Datum,K298+G299,IF(G300="",K300/(K300^(1/N299)),K300-G300)))),"")</f>
        <v>0</v>
      </c>
      <c r="L299" s="64">
        <f>I299/'Erkrankungs- und Strukturdaten'!$C$7</f>
        <v>522772.72727272724</v>
      </c>
      <c r="M299" s="65">
        <f t="shared" si="32"/>
        <v>1.7186300487853197E-2</v>
      </c>
      <c r="N299" s="163">
        <v>217</v>
      </c>
      <c r="O299" s="221">
        <f t="shared" si="33"/>
        <v>1</v>
      </c>
    </row>
    <row r="300" spans="4:15" x14ac:dyDescent="0.2">
      <c r="D300" s="86">
        <v>44154</v>
      </c>
      <c r="E300" s="64">
        <f t="shared" si="29"/>
        <v>4493</v>
      </c>
      <c r="F300" s="101">
        <v>4493</v>
      </c>
      <c r="G300" s="140"/>
      <c r="H300" s="64">
        <f>E300/'Erkrankungs- und Strukturdaten'!$C$7</f>
        <v>8169.0909090909081</v>
      </c>
      <c r="I300" s="64">
        <f t="shared" si="30"/>
        <v>292018</v>
      </c>
      <c r="J300" s="64">
        <f t="shared" si="31"/>
        <v>0</v>
      </c>
      <c r="K300" s="101">
        <f>IFERROR(IF(D300=_Datum,Prognoseparameter!$C$14,
IF(_WachstumsrateKURZ="Bundesweit",IF(D300&gt;_Datum,
         K299+AVERAGE(F296:F299)*(1+_WR)*(1-(K299-VLOOKUP('Erkrankungs- und Strukturdaten'!$C$45,$D:$M,$K$1,FALSE))/$B$16),
         K301-$B$23*F301),
IF(D300&gt;_Datum,K299+G300,IF(G301="",K301/(K301^(1/N300)),K301-G301)))),"")</f>
        <v>0</v>
      </c>
      <c r="L300" s="64">
        <f>I300/'Erkrankungs- und Strukturdaten'!$C$7</f>
        <v>530941.81818181812</v>
      </c>
      <c r="M300" s="65">
        <f t="shared" si="32"/>
        <v>1.56264672637162E-2</v>
      </c>
      <c r="N300" s="163">
        <v>217</v>
      </c>
      <c r="O300" s="221">
        <f t="shared" si="33"/>
        <v>1</v>
      </c>
    </row>
    <row r="301" spans="4:15" x14ac:dyDescent="0.2">
      <c r="D301" s="86">
        <v>44155</v>
      </c>
      <c r="E301" s="64">
        <f t="shared" si="29"/>
        <v>4324</v>
      </c>
      <c r="F301" s="101">
        <v>4324</v>
      </c>
      <c r="G301" s="140"/>
      <c r="H301" s="64">
        <f>E301/'Erkrankungs- und Strukturdaten'!$C$7</f>
        <v>7861.8181818181811</v>
      </c>
      <c r="I301" s="64">
        <f t="shared" si="30"/>
        <v>296342</v>
      </c>
      <c r="J301" s="64">
        <f t="shared" si="31"/>
        <v>0</v>
      </c>
      <c r="K301" s="101">
        <f>IFERROR(IF(D301=_Datum,Prognoseparameter!$C$14,
IF(_WachstumsrateKURZ="Bundesweit",IF(D301&gt;_Datum,
         K300+AVERAGE(F297:F300)*(1+_WR)*(1-(K300-VLOOKUP('Erkrankungs- und Strukturdaten'!$C$45,$D:$M,$K$1,FALSE))/$B$16),
         K302-$B$23*F302),
IF(D301&gt;_Datum,K300+G301,IF(G302="",K302/(K302^(1/N301)),K302-G302)))),"")</f>
        <v>0</v>
      </c>
      <c r="L301" s="64">
        <f>I301/'Erkrankungs- und Strukturdaten'!$C$7</f>
        <v>538803.63636363635</v>
      </c>
      <c r="M301" s="65">
        <f t="shared" si="32"/>
        <v>1.4807306398920615E-2</v>
      </c>
      <c r="N301" s="163">
        <v>217</v>
      </c>
      <c r="O301" s="221">
        <f t="shared" si="33"/>
        <v>1</v>
      </c>
    </row>
    <row r="302" spans="4:15" x14ac:dyDescent="0.2">
      <c r="D302" s="86">
        <v>44156</v>
      </c>
      <c r="E302" s="64">
        <f t="shared" si="29"/>
        <v>2571</v>
      </c>
      <c r="F302" s="101">
        <v>2571</v>
      </c>
      <c r="G302" s="140"/>
      <c r="H302" s="64">
        <f>E302/'Erkrankungs- und Strukturdaten'!$C$7</f>
        <v>4674.545454545454</v>
      </c>
      <c r="I302" s="64">
        <f t="shared" si="30"/>
        <v>298913</v>
      </c>
      <c r="J302" s="64">
        <f t="shared" si="31"/>
        <v>0</v>
      </c>
      <c r="K302" s="101">
        <f>IFERROR(IF(D302=_Datum,Prognoseparameter!$C$14,
IF(_WachstumsrateKURZ="Bundesweit",IF(D302&gt;_Datum,
         K301+AVERAGE(F298:F301)*(1+_WR)*(1-(K301-VLOOKUP('Erkrankungs- und Strukturdaten'!$C$45,$D:$M,$K$1,FALSE))/$B$16),
         K303-$B$23*F303),
IF(D302&gt;_Datum,K301+G302,IF(G303="",K303/(K303^(1/N302)),K303-G303)))),"")</f>
        <v>0</v>
      </c>
      <c r="L302" s="64">
        <f>I302/'Erkrankungs- und Strukturdaten'!$C$7</f>
        <v>543478.18181818177</v>
      </c>
      <c r="M302" s="65">
        <f t="shared" si="32"/>
        <v>8.6757867598922858E-3</v>
      </c>
      <c r="N302" s="163">
        <v>217</v>
      </c>
      <c r="O302" s="221">
        <f t="shared" si="33"/>
        <v>1</v>
      </c>
    </row>
    <row r="303" spans="4:15" x14ac:dyDescent="0.2">
      <c r="D303" s="86">
        <v>44157</v>
      </c>
      <c r="E303" s="64">
        <f t="shared" si="29"/>
        <v>1872</v>
      </c>
      <c r="F303" s="101">
        <v>1872</v>
      </c>
      <c r="G303" s="140"/>
      <c r="H303" s="64">
        <f>E303/'Erkrankungs- und Strukturdaten'!$C$7</f>
        <v>3403.6363636363635</v>
      </c>
      <c r="I303" s="64">
        <f t="shared" si="30"/>
        <v>300785</v>
      </c>
      <c r="J303" s="64">
        <f t="shared" si="31"/>
        <v>0</v>
      </c>
      <c r="K303" s="101">
        <f>IFERROR(IF(D303=_Datum,Prognoseparameter!$C$14,
IF(_WachstumsrateKURZ="Bundesweit",IF(D303&gt;_Datum,
         K302+AVERAGE(F299:F302)*(1+_WR)*(1-(K302-VLOOKUP('Erkrankungs- und Strukturdaten'!$C$45,$D:$M,$K$1,FALSE))/$B$16),
         K304-$B$23*F304),
IF(D303&gt;_Datum,K302+G303,IF(G304="",K304/(K304^(1/N303)),K304-G304)))),"")</f>
        <v>0</v>
      </c>
      <c r="L303" s="64">
        <f>I303/'Erkrankungs- und Strukturdaten'!$C$7</f>
        <v>546881.81818181812</v>
      </c>
      <c r="M303" s="65">
        <f t="shared" si="32"/>
        <v>6.2626918200279014E-3</v>
      </c>
      <c r="N303" s="163">
        <v>217</v>
      </c>
      <c r="O303" s="221">
        <f t="shared" si="33"/>
        <v>1</v>
      </c>
    </row>
    <row r="304" spans="4:15" x14ac:dyDescent="0.2">
      <c r="D304" s="86">
        <v>44158</v>
      </c>
      <c r="E304" s="64">
        <f t="shared" si="29"/>
        <v>5433</v>
      </c>
      <c r="F304" s="101">
        <v>5433</v>
      </c>
      <c r="G304" s="140"/>
      <c r="H304" s="64">
        <f>E304/'Erkrankungs- und Strukturdaten'!$C$7</f>
        <v>9878.181818181818</v>
      </c>
      <c r="I304" s="64">
        <f t="shared" si="30"/>
        <v>306218</v>
      </c>
      <c r="J304" s="64">
        <f t="shared" si="31"/>
        <v>0</v>
      </c>
      <c r="K304" s="101">
        <f>IFERROR(IF(D304=_Datum,Prognoseparameter!$C$14,
IF(_WachstumsrateKURZ="Bundesweit",IF(D304&gt;_Datum,
         K303+AVERAGE(F300:F303)*(1+_WR)*(1-(K303-VLOOKUP('Erkrankungs- und Strukturdaten'!$C$45,$D:$M,$K$1,FALSE))/$B$16),
         K305-$B$23*F305),
IF(D304&gt;_Datum,K303+G304,IF(G305="",K305/(K305^(1/N304)),K305-G305)))),"")</f>
        <v>0</v>
      </c>
      <c r="L304" s="64">
        <f>I304/'Erkrankungs- und Strukturdaten'!$C$7</f>
        <v>556760</v>
      </c>
      <c r="M304" s="65">
        <f t="shared" si="32"/>
        <v>1.8062735841215486E-2</v>
      </c>
      <c r="N304" s="163">
        <v>217</v>
      </c>
      <c r="O304" s="221">
        <f t="shared" si="33"/>
        <v>1</v>
      </c>
    </row>
    <row r="305" spans="4:15" x14ac:dyDescent="0.2">
      <c r="D305" s="86">
        <v>44159</v>
      </c>
      <c r="E305" s="64">
        <f t="shared" si="29"/>
        <v>4433</v>
      </c>
      <c r="F305" s="101">
        <v>4433</v>
      </c>
      <c r="G305" s="140"/>
      <c r="H305" s="64">
        <f>E305/'Erkrankungs- und Strukturdaten'!$C$7</f>
        <v>8059.9999999999991</v>
      </c>
      <c r="I305" s="64">
        <f t="shared" si="30"/>
        <v>310651</v>
      </c>
      <c r="J305" s="64">
        <f t="shared" si="31"/>
        <v>0</v>
      </c>
      <c r="K305" s="101">
        <f>IFERROR(IF(D305=_Datum,Prognoseparameter!$C$14,
IF(_WachstumsrateKURZ="Bundesweit",IF(D305&gt;_Datum,
         K304+AVERAGE(F301:F304)*(1+_WR)*(1-(K304-VLOOKUP('Erkrankungs- und Strukturdaten'!$C$45,$D:$M,$K$1,FALSE))/$B$16),
         K306-$B$23*F306),
IF(D305&gt;_Datum,K304+G305,IF(G306="",K306/(K306^(1/N305)),K306-G306)))),"")</f>
        <v>0</v>
      </c>
      <c r="L305" s="64">
        <f>I305/'Erkrankungs- und Strukturdaten'!$C$7</f>
        <v>564820</v>
      </c>
      <c r="M305" s="65">
        <f t="shared" si="32"/>
        <v>1.4476614699331848E-2</v>
      </c>
      <c r="N305" s="163">
        <v>217</v>
      </c>
      <c r="O305" s="221">
        <f t="shared" si="33"/>
        <v>1</v>
      </c>
    </row>
    <row r="306" spans="4:15" x14ac:dyDescent="0.2">
      <c r="D306" s="86">
        <v>44160</v>
      </c>
      <c r="E306" s="64">
        <f t="shared" si="29"/>
        <v>4302</v>
      </c>
      <c r="F306" s="101">
        <v>4302</v>
      </c>
      <c r="G306" s="140"/>
      <c r="H306" s="64">
        <f>E306/'Erkrankungs- und Strukturdaten'!$C$7</f>
        <v>7821.8181818181811</v>
      </c>
      <c r="I306" s="64">
        <f t="shared" si="30"/>
        <v>314953</v>
      </c>
      <c r="J306" s="64">
        <f t="shared" si="31"/>
        <v>0</v>
      </c>
      <c r="K306" s="101">
        <f>IFERROR(IF(D306=_Datum,Prognoseparameter!$C$14,
IF(_WachstumsrateKURZ="Bundesweit",IF(D306&gt;_Datum,
         K305+AVERAGE(F302:F305)*(1+_WR)*(1-(K305-VLOOKUP('Erkrankungs- und Strukturdaten'!$C$45,$D:$M,$K$1,FALSE))/$B$16),
         K307-$B$23*F307),
IF(D306&gt;_Datum,K305+G306,IF(G307="",K307/(K307^(1/N306)),K307-G307)))),"")</f>
        <v>0</v>
      </c>
      <c r="L306" s="64">
        <f>I306/'Erkrankungs- und Strukturdaten'!$C$7</f>
        <v>572641.81818181812</v>
      </c>
      <c r="M306" s="65">
        <f t="shared" si="32"/>
        <v>1.3848337845363446E-2</v>
      </c>
      <c r="N306" s="163">
        <v>217</v>
      </c>
      <c r="O306" s="221">
        <f t="shared" si="33"/>
        <v>1</v>
      </c>
    </row>
    <row r="307" spans="4:15" x14ac:dyDescent="0.2">
      <c r="D307" s="86">
        <v>44161</v>
      </c>
      <c r="E307" s="64">
        <f t="shared" si="29"/>
        <v>3954</v>
      </c>
      <c r="F307" s="101">
        <v>3954</v>
      </c>
      <c r="G307" s="140"/>
      <c r="H307" s="64">
        <f>E307/'Erkrankungs- und Strukturdaten'!$C$7</f>
        <v>7189.0909090909081</v>
      </c>
      <c r="I307" s="64">
        <f t="shared" si="30"/>
        <v>318907</v>
      </c>
      <c r="J307" s="64">
        <f t="shared" si="31"/>
        <v>0</v>
      </c>
      <c r="K307" s="101">
        <f>IFERROR(IF(D307=_Datum,Prognoseparameter!$C$14,
IF(_WachstumsrateKURZ="Bundesweit",IF(D307&gt;_Datum,
         K306+AVERAGE(F303:F306)*(1+_WR)*(1-(K306-VLOOKUP('Erkrankungs- und Strukturdaten'!$C$45,$D:$M,$K$1,FALSE))/$B$16),
         K308-$B$23*F308),
IF(D307&gt;_Datum,K306+G307,IF(G308="",K308/(K308^(1/N307)),K308-G308)))),"")</f>
        <v>0</v>
      </c>
      <c r="L307" s="64">
        <f>I307/'Erkrankungs- und Strukturdaten'!$C$7</f>
        <v>579830.90909090906</v>
      </c>
      <c r="M307" s="65">
        <f t="shared" si="32"/>
        <v>1.2554254126806223E-2</v>
      </c>
      <c r="N307" s="163">
        <v>217</v>
      </c>
      <c r="O307" s="221">
        <f t="shared" si="33"/>
        <v>1</v>
      </c>
    </row>
    <row r="308" spans="4:15" x14ac:dyDescent="0.2">
      <c r="D308" s="86">
        <v>44162</v>
      </c>
      <c r="E308" s="64">
        <f t="shared" si="29"/>
        <v>4070</v>
      </c>
      <c r="F308" s="101">
        <v>4070</v>
      </c>
      <c r="G308" s="140"/>
      <c r="H308" s="64">
        <f>E308/'Erkrankungs- und Strukturdaten'!$C$7</f>
        <v>7399.9999999999991</v>
      </c>
      <c r="I308" s="64">
        <f t="shared" si="30"/>
        <v>322977</v>
      </c>
      <c r="J308" s="64">
        <f t="shared" si="31"/>
        <v>0</v>
      </c>
      <c r="K308" s="101">
        <f>IFERROR(IF(D308=_Datum,Prognoseparameter!$C$14,
IF(_WachstumsrateKURZ="Bundesweit",IF(D308&gt;_Datum,
         K307+AVERAGE(F304:F307)*(1+_WR)*(1-(K307-VLOOKUP('Erkrankungs- und Strukturdaten'!$C$45,$D:$M,$K$1,FALSE))/$B$16),
         K309-$B$23*F309),
IF(D308&gt;_Datum,K307+G308,IF(G309="",K309/(K309^(1/N308)),K309-G309)))),"")</f>
        <v>0</v>
      </c>
      <c r="L308" s="64">
        <f>I308/'Erkrankungs- und Strukturdaten'!$C$7</f>
        <v>587230.90909090906</v>
      </c>
      <c r="M308" s="65">
        <f t="shared" si="32"/>
        <v>1.276234137224959E-2</v>
      </c>
      <c r="N308" s="163">
        <v>217</v>
      </c>
      <c r="O308" s="221">
        <f t="shared" si="33"/>
        <v>1</v>
      </c>
    </row>
    <row r="309" spans="4:15" x14ac:dyDescent="0.2">
      <c r="D309" s="86">
        <v>44163</v>
      </c>
      <c r="E309" s="64">
        <f t="shared" si="29"/>
        <v>2311</v>
      </c>
      <c r="F309" s="101">
        <v>2311</v>
      </c>
      <c r="G309" s="140"/>
      <c r="H309" s="64">
        <f>E309/'Erkrankungs- und Strukturdaten'!$C$7</f>
        <v>4201.8181818181811</v>
      </c>
      <c r="I309" s="64">
        <f t="shared" si="30"/>
        <v>325288</v>
      </c>
      <c r="J309" s="64">
        <f t="shared" si="31"/>
        <v>0</v>
      </c>
      <c r="K309" s="101">
        <f>IFERROR(IF(D309=_Datum,Prognoseparameter!$C$14,
IF(_WachstumsrateKURZ="Bundesweit",IF(D309&gt;_Datum,
         K308+AVERAGE(F305:F308)*(1+_WR)*(1-(K308-VLOOKUP('Erkrankungs- und Strukturdaten'!$C$45,$D:$M,$K$1,FALSE))/$B$16),
         K310-$B$23*F310),
IF(D309&gt;_Datum,K308+G309,IF(G310="",K310/(K310^(1/N309)),K310-G310)))),"")</f>
        <v>0</v>
      </c>
      <c r="L309" s="64">
        <f>I309/'Erkrankungs- und Strukturdaten'!$C$7</f>
        <v>591432.72727272718</v>
      </c>
      <c r="M309" s="65">
        <f t="shared" si="32"/>
        <v>7.1553082727253024E-3</v>
      </c>
      <c r="N309" s="163">
        <v>217</v>
      </c>
      <c r="O309" s="221">
        <f t="shared" si="33"/>
        <v>1</v>
      </c>
    </row>
    <row r="310" spans="4:15" x14ac:dyDescent="0.2">
      <c r="D310" s="86">
        <v>44164</v>
      </c>
      <c r="E310" s="64">
        <f t="shared" si="29"/>
        <v>1692</v>
      </c>
      <c r="F310" s="101">
        <v>1692</v>
      </c>
      <c r="G310" s="140"/>
      <c r="H310" s="64">
        <f>E310/'Erkrankungs- und Strukturdaten'!$C$7</f>
        <v>3076.363636363636</v>
      </c>
      <c r="I310" s="64">
        <f t="shared" si="30"/>
        <v>326980</v>
      </c>
      <c r="J310" s="64">
        <f t="shared" si="31"/>
        <v>0</v>
      </c>
      <c r="K310" s="101">
        <f>IFERROR(IF(D310=_Datum,Prognoseparameter!$C$14,
IF(_WachstumsrateKURZ="Bundesweit",IF(D310&gt;_Datum,
         K309+AVERAGE(F306:F309)*(1+_WR)*(1-(K309-VLOOKUP('Erkrankungs- und Strukturdaten'!$C$45,$D:$M,$K$1,FALSE))/$B$16),
         K311-$B$23*F311),
IF(D310&gt;_Datum,K309+G310,IF(G311="",K311/(K311^(1/N310)),K311-G311)))),"")</f>
        <v>0</v>
      </c>
      <c r="L310" s="64">
        <f>I310/'Erkrankungs- und Strukturdaten'!$C$7</f>
        <v>594509.09090909082</v>
      </c>
      <c r="M310" s="65">
        <f t="shared" si="32"/>
        <v>5.2015444775091613E-3</v>
      </c>
      <c r="N310" s="163">
        <v>217</v>
      </c>
      <c r="O310" s="221">
        <f t="shared" si="33"/>
        <v>1</v>
      </c>
    </row>
    <row r="311" spans="4:15" x14ac:dyDescent="0.2">
      <c r="D311" s="86">
        <v>44165</v>
      </c>
      <c r="E311" s="64">
        <f t="shared" si="29"/>
        <v>5271</v>
      </c>
      <c r="F311" s="101">
        <v>5271</v>
      </c>
      <c r="G311" s="140"/>
      <c r="H311" s="64">
        <f>E311/'Erkrankungs- und Strukturdaten'!$C$7</f>
        <v>9583.6363636363621</v>
      </c>
      <c r="I311" s="64">
        <f t="shared" si="30"/>
        <v>332251</v>
      </c>
      <c r="J311" s="64">
        <f t="shared" si="31"/>
        <v>0</v>
      </c>
      <c r="K311" s="101">
        <f>IFERROR(IF(D311=_Datum,Prognoseparameter!$C$14,
IF(_WachstumsrateKURZ="Bundesweit",IF(D311&gt;_Datum,
         K310+AVERAGE(F307:F310)*(1+_WR)*(1-(K310-VLOOKUP('Erkrankungs- und Strukturdaten'!$C$45,$D:$M,$K$1,FALSE))/$B$16),
         K312-$B$23*F312),
IF(D311&gt;_Datum,K310+G311,IF(G312="",K312/(K312^(1/N311)),K312-G312)))),"")</f>
        <v>0</v>
      </c>
      <c r="L311" s="64">
        <f>I311/'Erkrankungs- und Strukturdaten'!$C$7</f>
        <v>604092.72727272718</v>
      </c>
      <c r="M311" s="65">
        <f t="shared" si="32"/>
        <v>1.6120252003180624E-2</v>
      </c>
      <c r="N311" s="163">
        <v>217</v>
      </c>
      <c r="O311" s="221">
        <f t="shared" si="33"/>
        <v>1</v>
      </c>
    </row>
    <row r="312" spans="4:15" x14ac:dyDescent="0.2">
      <c r="D312" s="86">
        <v>44166</v>
      </c>
      <c r="E312" s="64">
        <f t="shared" si="29"/>
        <v>4251</v>
      </c>
      <c r="F312" s="101">
        <v>4251</v>
      </c>
      <c r="G312" s="140"/>
      <c r="H312" s="64">
        <f>E312/'Erkrankungs- und Strukturdaten'!$C$7</f>
        <v>7729.0909090909081</v>
      </c>
      <c r="I312" s="64">
        <f t="shared" si="30"/>
        <v>336502</v>
      </c>
      <c r="J312" s="64">
        <f t="shared" si="31"/>
        <v>0</v>
      </c>
      <c r="K312" s="101">
        <f>IFERROR(IF(D312=_Datum,Prognoseparameter!$C$14,
IF(_WachstumsrateKURZ="Bundesweit",IF(D312&gt;_Datum,
         K311+AVERAGE(F308:F311)*(1+_WR)*(1-(K311-VLOOKUP('Erkrankungs- und Strukturdaten'!$C$45,$D:$M,$K$1,FALSE))/$B$16),
         K313-$B$23*F313),
IF(D312&gt;_Datum,K311+G312,IF(G313="",K313/(K313^(1/N312)),K313-G313)))),"")</f>
        <v>0</v>
      </c>
      <c r="L312" s="64">
        <f>I312/'Erkrankungs- und Strukturdaten'!$C$7</f>
        <v>611821.81818181812</v>
      </c>
      <c r="M312" s="65">
        <f t="shared" si="32"/>
        <v>1.279454388399132E-2</v>
      </c>
      <c r="N312" s="163">
        <v>217</v>
      </c>
      <c r="O312" s="221">
        <f t="shared" si="33"/>
        <v>1</v>
      </c>
    </row>
    <row r="313" spans="4:15" x14ac:dyDescent="0.2">
      <c r="D313" s="86">
        <v>44167</v>
      </c>
      <c r="E313" s="64">
        <f t="shared" si="29"/>
        <v>4423</v>
      </c>
      <c r="F313" s="101">
        <v>4423</v>
      </c>
      <c r="G313" s="140"/>
      <c r="H313" s="64">
        <f>E313/'Erkrankungs- und Strukturdaten'!$C$7</f>
        <v>8041.8181818181811</v>
      </c>
      <c r="I313" s="64">
        <f t="shared" si="30"/>
        <v>340925</v>
      </c>
      <c r="J313" s="64">
        <f t="shared" si="31"/>
        <v>0</v>
      </c>
      <c r="K313" s="101">
        <f>IFERROR(IF(D313=_Datum,Prognoseparameter!$C$14,
IF(_WachstumsrateKURZ="Bundesweit",IF(D313&gt;_Datum,
         K312+AVERAGE(F309:F312)*(1+_WR)*(1-(K312-VLOOKUP('Erkrankungs- und Strukturdaten'!$C$45,$D:$M,$K$1,FALSE))/$B$16),
         K314-$B$23*F314),
IF(D313&gt;_Datum,K312+G313,IF(G314="",K314/(K314^(1/N313)),K314-G314)))),"")</f>
        <v>0</v>
      </c>
      <c r="L313" s="64">
        <f>I313/'Erkrankungs- und Strukturdaten'!$C$7</f>
        <v>619863.63636363635</v>
      </c>
      <c r="M313" s="65">
        <f t="shared" si="32"/>
        <v>1.3144052635645553E-2</v>
      </c>
      <c r="N313" s="163">
        <v>217</v>
      </c>
      <c r="O313" s="221">
        <f t="shared" si="33"/>
        <v>1</v>
      </c>
    </row>
    <row r="314" spans="4:15" x14ac:dyDescent="0.2">
      <c r="D314" s="86">
        <v>44168</v>
      </c>
      <c r="E314" s="64">
        <f t="shared" si="29"/>
        <v>4320</v>
      </c>
      <c r="F314" s="101">
        <v>4320</v>
      </c>
      <c r="G314" s="140"/>
      <c r="H314" s="64">
        <f>E314/'Erkrankungs- und Strukturdaten'!$C$7</f>
        <v>7854.545454545454</v>
      </c>
      <c r="I314" s="64">
        <f t="shared" si="30"/>
        <v>345245</v>
      </c>
      <c r="J314" s="64">
        <f t="shared" si="31"/>
        <v>0</v>
      </c>
      <c r="K314" s="101">
        <f>IFERROR(IF(D314=_Datum,Prognoseparameter!$C$14,
IF(_WachstumsrateKURZ="Bundesweit",IF(D314&gt;_Datum,
         K313+AVERAGE(F310:F313)*(1+_WR)*(1-(K313-VLOOKUP('Erkrankungs- und Strukturdaten'!$C$45,$D:$M,$K$1,FALSE))/$B$16),
         K315-$B$23*F315),
IF(D314&gt;_Datum,K313+G314,IF(G315="",K315/(K315^(1/N314)),K315-G315)))),"")</f>
        <v>0</v>
      </c>
      <c r="L314" s="64">
        <f>I314/'Erkrankungs- und Strukturdaten'!$C$7</f>
        <v>627718.18181818177</v>
      </c>
      <c r="M314" s="65">
        <f t="shared" si="32"/>
        <v>1.2671408667595512E-2</v>
      </c>
      <c r="N314" s="163">
        <v>217</v>
      </c>
      <c r="O314" s="221">
        <f t="shared" si="33"/>
        <v>1</v>
      </c>
    </row>
    <row r="315" spans="4:15" x14ac:dyDescent="0.2">
      <c r="D315" s="86">
        <v>44169</v>
      </c>
      <c r="E315" s="64">
        <f t="shared" si="29"/>
        <v>4561</v>
      </c>
      <c r="F315" s="101">
        <v>4561</v>
      </c>
      <c r="G315" s="140"/>
      <c r="H315" s="64">
        <f>E315/'Erkrankungs- und Strukturdaten'!$C$7</f>
        <v>8292.7272727272721</v>
      </c>
      <c r="I315" s="64">
        <f t="shared" si="30"/>
        <v>349806</v>
      </c>
      <c r="J315" s="64">
        <f t="shared" si="31"/>
        <v>0</v>
      </c>
      <c r="K315" s="101">
        <f>IFERROR(IF(D315=_Datum,Prognoseparameter!$C$14,
IF(_WachstumsrateKURZ="Bundesweit",IF(D315&gt;_Datum,
         K314+AVERAGE(F311:F314)*(1+_WR)*(1-(K314-VLOOKUP('Erkrankungs- und Strukturdaten'!$C$45,$D:$M,$K$1,FALSE))/$B$16),
         K316-$B$23*F316),
IF(D315&gt;_Datum,K314+G315,IF(G316="",K316/(K316^(1/N315)),K316-G316)))),"")</f>
        <v>0</v>
      </c>
      <c r="L315" s="64">
        <f>I315/'Erkrankungs- und Strukturdaten'!$C$7</f>
        <v>636010.90909090906</v>
      </c>
      <c r="M315" s="65">
        <f t="shared" si="32"/>
        <v>1.321090819562919E-2</v>
      </c>
      <c r="N315" s="163">
        <v>217</v>
      </c>
      <c r="O315" s="221">
        <f t="shared" si="33"/>
        <v>1</v>
      </c>
    </row>
    <row r="316" spans="4:15" x14ac:dyDescent="0.2">
      <c r="D316" s="86">
        <v>44170</v>
      </c>
      <c r="E316" s="64">
        <f t="shared" si="29"/>
        <v>2519</v>
      </c>
      <c r="F316" s="101">
        <v>2519</v>
      </c>
      <c r="G316" s="140"/>
      <c r="H316" s="64">
        <f>E316/'Erkrankungs- und Strukturdaten'!$C$7</f>
        <v>4580</v>
      </c>
      <c r="I316" s="64">
        <f t="shared" si="30"/>
        <v>352325</v>
      </c>
      <c r="J316" s="64">
        <f t="shared" si="31"/>
        <v>0</v>
      </c>
      <c r="K316" s="101">
        <f>IFERROR(IF(D316=_Datum,Prognoseparameter!$C$14,
IF(_WachstumsrateKURZ="Bundesweit",IF(D316&gt;_Datum,
         K315+AVERAGE(F312:F315)*(1+_WR)*(1-(K315-VLOOKUP('Erkrankungs- und Strukturdaten'!$C$45,$D:$M,$K$1,FALSE))/$B$16),
         K317-$B$23*F317),
IF(D316&gt;_Datum,K315+G316,IF(G317="",K317/(K317^(1/N316)),K317-G317)))),"")</f>
        <v>0</v>
      </c>
      <c r="L316" s="64">
        <f>I316/'Erkrankungs- und Strukturdaten'!$C$7</f>
        <v>640590.90909090906</v>
      </c>
      <c r="M316" s="65">
        <f t="shared" si="32"/>
        <v>7.2011343430358546E-3</v>
      </c>
      <c r="N316" s="163">
        <v>217</v>
      </c>
      <c r="O316" s="221">
        <f t="shared" si="33"/>
        <v>1</v>
      </c>
    </row>
    <row r="317" spans="4:15" x14ac:dyDescent="0.2">
      <c r="D317" s="86">
        <v>44171</v>
      </c>
      <c r="E317" s="64">
        <f t="shared" si="29"/>
        <v>1939</v>
      </c>
      <c r="F317" s="101">
        <v>1939</v>
      </c>
      <c r="G317" s="140"/>
      <c r="H317" s="64">
        <f>E317/'Erkrankungs- und Strukturdaten'!$C$7</f>
        <v>3525.454545454545</v>
      </c>
      <c r="I317" s="64">
        <f t="shared" si="30"/>
        <v>354264</v>
      </c>
      <c r="J317" s="64">
        <f t="shared" si="31"/>
        <v>0</v>
      </c>
      <c r="K317" s="101">
        <f>IFERROR(IF(D317=_Datum,Prognoseparameter!$C$14,
IF(_WachstumsrateKURZ="Bundesweit",IF(D317&gt;_Datum,
         K316+AVERAGE(F313:F316)*(1+_WR)*(1-(K316-VLOOKUP('Erkrankungs- und Strukturdaten'!$C$45,$D:$M,$K$1,FALSE))/$B$16),
         K318-$B$23*F318),
IF(D317&gt;_Datum,K316+G317,IF(G318="",K318/(K318^(1/N317)),K318-G318)))),"")</f>
        <v>0</v>
      </c>
      <c r="L317" s="64">
        <f>I317/'Erkrankungs- und Strukturdaten'!$C$7</f>
        <v>644116.36363636353</v>
      </c>
      <c r="M317" s="65">
        <f t="shared" si="32"/>
        <v>5.5034414248208334E-3</v>
      </c>
      <c r="N317" s="163">
        <v>217</v>
      </c>
      <c r="O317" s="221">
        <f t="shared" si="33"/>
        <v>1</v>
      </c>
    </row>
    <row r="318" spans="4:15" x14ac:dyDescent="0.2">
      <c r="D318" s="86">
        <v>44172</v>
      </c>
      <c r="E318" s="64">
        <f t="shared" si="29"/>
        <v>5828</v>
      </c>
      <c r="F318" s="101">
        <v>5828</v>
      </c>
      <c r="G318" s="140"/>
      <c r="H318" s="64">
        <f>E318/'Erkrankungs- und Strukturdaten'!$C$7</f>
        <v>10596.363636363636</v>
      </c>
      <c r="I318" s="64">
        <f t="shared" si="30"/>
        <v>360092</v>
      </c>
      <c r="J318" s="64">
        <f t="shared" si="31"/>
        <v>0</v>
      </c>
      <c r="K318" s="101">
        <f>IFERROR(IF(D318=_Datum,Prognoseparameter!$C$14,
IF(_WachstumsrateKURZ="Bundesweit",IF(D318&gt;_Datum,
         K317+AVERAGE(F314:F317)*(1+_WR)*(1-(K317-VLOOKUP('Erkrankungs- und Strukturdaten'!$C$45,$D:$M,$K$1,FALSE))/$B$16),
         K319-$B$23*F319),
IF(D318&gt;_Datum,K317+G318,IF(G319="",K319/(K319^(1/N318)),K319-G319)))),"")</f>
        <v>0</v>
      </c>
      <c r="L318" s="64">
        <f>I318/'Erkrankungs- und Strukturdaten'!$C$7</f>
        <v>654712.72727272718</v>
      </c>
      <c r="M318" s="65">
        <f t="shared" si="32"/>
        <v>1.6451008287604724E-2</v>
      </c>
      <c r="N318" s="163">
        <v>217</v>
      </c>
      <c r="O318" s="221">
        <f t="shared" si="33"/>
        <v>1</v>
      </c>
    </row>
    <row r="319" spans="4:15" x14ac:dyDescent="0.2">
      <c r="D319" s="86">
        <v>44173</v>
      </c>
      <c r="E319" s="64">
        <f t="shared" si="29"/>
        <v>4670</v>
      </c>
      <c r="F319" s="101">
        <v>4670</v>
      </c>
      <c r="G319" s="140"/>
      <c r="H319" s="64">
        <f>E319/'Erkrankungs- und Strukturdaten'!$C$7</f>
        <v>8490.9090909090901</v>
      </c>
      <c r="I319" s="64">
        <f t="shared" si="30"/>
        <v>364762</v>
      </c>
      <c r="J319" s="64">
        <f t="shared" si="31"/>
        <v>0</v>
      </c>
      <c r="K319" s="101">
        <f>IFERROR(IF(D319=_Datum,Prognoseparameter!$C$14,
IF(_WachstumsrateKURZ="Bundesweit",IF(D319&gt;_Datum,
         K318+AVERAGE(F315:F318)*(1+_WR)*(1-(K318-VLOOKUP('Erkrankungs- und Strukturdaten'!$C$45,$D:$M,$K$1,FALSE))/$B$16),
         K320-$B$23*F320),
IF(D319&gt;_Datum,K318+G319,IF(G320="",K320/(K320^(1/N319)),K320-G320)))),"")</f>
        <v>0</v>
      </c>
      <c r="L319" s="64">
        <f>I319/'Erkrankungs- und Strukturdaten'!$C$7</f>
        <v>663203.63636363635</v>
      </c>
      <c r="M319" s="65">
        <f t="shared" si="32"/>
        <v>1.2968907945747198E-2</v>
      </c>
      <c r="N319" s="163">
        <v>217</v>
      </c>
      <c r="O319" s="221">
        <f t="shared" si="33"/>
        <v>1</v>
      </c>
    </row>
    <row r="320" spans="4:15" x14ac:dyDescent="0.2">
      <c r="D320" s="86">
        <v>44174</v>
      </c>
      <c r="E320" s="64">
        <f t="shared" si="29"/>
        <v>5242</v>
      </c>
      <c r="F320" s="101">
        <v>5242</v>
      </c>
      <c r="G320" s="140"/>
      <c r="H320" s="64">
        <f>E320/'Erkrankungs- und Strukturdaten'!$C$7</f>
        <v>9530.9090909090901</v>
      </c>
      <c r="I320" s="64">
        <f t="shared" si="30"/>
        <v>370004</v>
      </c>
      <c r="J320" s="64">
        <f t="shared" si="31"/>
        <v>0</v>
      </c>
      <c r="K320" s="101">
        <f>IFERROR(IF(D320=_Datum,Prognoseparameter!$C$14,
IF(_WachstumsrateKURZ="Bundesweit",IF(D320&gt;_Datum,
         K319+AVERAGE(F316:F319)*(1+_WR)*(1-(K319-VLOOKUP('Erkrankungs- und Strukturdaten'!$C$45,$D:$M,$K$1,FALSE))/$B$16),
         K321-$B$23*F321),
IF(D320&gt;_Datum,K319+G320,IF(G321="",K321/(K321^(1/N320)),K321-G321)))),"")</f>
        <v>0</v>
      </c>
      <c r="L320" s="64">
        <f>I320/'Erkrankungs- und Strukturdaten'!$C$7</f>
        <v>672734.54545454541</v>
      </c>
      <c r="M320" s="65">
        <f t="shared" si="32"/>
        <v>1.4371014524539288E-2</v>
      </c>
      <c r="N320" s="163">
        <v>217</v>
      </c>
      <c r="O320" s="221">
        <f t="shared" si="33"/>
        <v>1</v>
      </c>
    </row>
    <row r="321" spans="4:15" x14ac:dyDescent="0.2">
      <c r="D321" s="86">
        <v>44175</v>
      </c>
      <c r="E321" s="64">
        <f t="shared" si="29"/>
        <v>4638</v>
      </c>
      <c r="F321" s="101">
        <v>4638</v>
      </c>
      <c r="G321" s="140"/>
      <c r="H321" s="64">
        <f>E321/'Erkrankungs- und Strukturdaten'!$C$7</f>
        <v>8432.7272727272721</v>
      </c>
      <c r="I321" s="64">
        <f t="shared" si="30"/>
        <v>374642</v>
      </c>
      <c r="J321" s="64">
        <f t="shared" si="31"/>
        <v>0</v>
      </c>
      <c r="K321" s="101">
        <f>IFERROR(IF(D321=_Datum,Prognoseparameter!$C$14,
IF(_WachstumsrateKURZ="Bundesweit",IF(D321&gt;_Datum,
         K320+AVERAGE(F317:F320)*(1+_WR)*(1-(K320-VLOOKUP('Erkrankungs- und Strukturdaten'!$C$45,$D:$M,$K$1,FALSE))/$B$16),
         K322-$B$23*F322),
IF(D321&gt;_Datum,K320+G321,IF(G322="",K322/(K322^(1/N321)),K322-G322)))),"")</f>
        <v>0</v>
      </c>
      <c r="L321" s="64">
        <f>I321/'Erkrankungs- und Strukturdaten'!$C$7</f>
        <v>681167.27272727271</v>
      </c>
      <c r="M321" s="65">
        <f t="shared" si="32"/>
        <v>1.2534999621625713E-2</v>
      </c>
      <c r="N321" s="163">
        <v>217</v>
      </c>
      <c r="O321" s="221">
        <f t="shared" si="33"/>
        <v>1</v>
      </c>
    </row>
    <row r="322" spans="4:15" x14ac:dyDescent="0.2">
      <c r="D322" s="86">
        <v>44176</v>
      </c>
      <c r="E322" s="64">
        <f t="shared" si="29"/>
        <v>4679</v>
      </c>
      <c r="F322" s="101">
        <v>4679</v>
      </c>
      <c r="G322" s="140"/>
      <c r="H322" s="64">
        <f>E322/'Erkrankungs- und Strukturdaten'!$C$7</f>
        <v>8507.2727272727261</v>
      </c>
      <c r="I322" s="64">
        <f t="shared" si="30"/>
        <v>379321</v>
      </c>
      <c r="J322" s="64">
        <f t="shared" si="31"/>
        <v>0</v>
      </c>
      <c r="K322" s="101">
        <f>IFERROR(IF(D322=_Datum,Prognoseparameter!$C$14,
IF(_WachstumsrateKURZ="Bundesweit",IF(D322&gt;_Datum,
         K321+AVERAGE(F318:F321)*(1+_WR)*(1-(K321-VLOOKUP('Erkrankungs- und Strukturdaten'!$C$45,$D:$M,$K$1,FALSE))/$B$16),
         K323-$B$23*F323),
IF(D322&gt;_Datum,K321+G322,IF(G323="",K323/(K323^(1/N322)),K323-G323)))),"")</f>
        <v>0</v>
      </c>
      <c r="L322" s="64">
        <f>I322/'Erkrankungs- und Strukturdaten'!$C$7</f>
        <v>689674.54545454541</v>
      </c>
      <c r="M322" s="65">
        <f t="shared" si="32"/>
        <v>1.2489256410119528E-2</v>
      </c>
      <c r="N322" s="163">
        <v>217</v>
      </c>
      <c r="O322" s="221">
        <f t="shared" si="33"/>
        <v>1</v>
      </c>
    </row>
    <row r="323" spans="4:15" x14ac:dyDescent="0.2">
      <c r="D323" s="86">
        <v>44177</v>
      </c>
      <c r="E323" s="64">
        <f t="shared" si="29"/>
        <v>2863</v>
      </c>
      <c r="F323" s="101">
        <v>2863</v>
      </c>
      <c r="G323" s="140"/>
      <c r="H323" s="64">
        <f>E323/'Erkrankungs- und Strukturdaten'!$C$7</f>
        <v>5205.454545454545</v>
      </c>
      <c r="I323" s="64">
        <f t="shared" si="30"/>
        <v>382184</v>
      </c>
      <c r="J323" s="64">
        <f t="shared" si="31"/>
        <v>0</v>
      </c>
      <c r="K323" s="101">
        <f>IFERROR(IF(D323=_Datum,Prognoseparameter!$C$14,
IF(_WachstumsrateKURZ="Bundesweit",IF(D323&gt;_Datum,
         K322+AVERAGE(F319:F322)*(1+_WR)*(1-(K322-VLOOKUP('Erkrankungs- und Strukturdaten'!$C$45,$D:$M,$K$1,FALSE))/$B$16),
         K324-$B$23*F324),
IF(D323&gt;_Datum,K322+G323,IF(G324="",K324/(K324^(1/N323)),K324-G324)))),"")</f>
        <v>0</v>
      </c>
      <c r="L323" s="64">
        <f>I323/'Erkrankungs- und Strukturdaten'!$C$7</f>
        <v>694880</v>
      </c>
      <c r="M323" s="65">
        <f t="shared" si="32"/>
        <v>7.5476970692368731E-3</v>
      </c>
      <c r="N323" s="163">
        <v>217</v>
      </c>
      <c r="O323" s="221">
        <f t="shared" si="33"/>
        <v>1</v>
      </c>
    </row>
    <row r="324" spans="4:15" x14ac:dyDescent="0.2">
      <c r="D324" s="86">
        <v>44178</v>
      </c>
      <c r="E324" s="64">
        <f t="shared" ref="E324:E387" si="34">IF(_AusgangswertKURZ="Bevölkerungsanteil",
$B$26*IF(F324=ROUNDDOWN(F324,0),F324,F324*VLOOKUP(WEEKDAY($D324,1),$A$51:$B$57,$B$1,FALSE)),
$B$17*IF(G324=ROUNDDOWN(G324,0),G324,G324*VLOOKUP(WEEKDAY($D324,1),$A$51:$B$57,$B$1,FALSE)))</f>
        <v>2086</v>
      </c>
      <c r="F324" s="101">
        <v>2086</v>
      </c>
      <c r="G324" s="140"/>
      <c r="H324" s="64">
        <f>E324/'Erkrankungs- und Strukturdaten'!$C$7</f>
        <v>3792.7272727272725</v>
      </c>
      <c r="I324" s="64">
        <f t="shared" si="30"/>
        <v>384270</v>
      </c>
      <c r="J324" s="64">
        <f t="shared" si="31"/>
        <v>0</v>
      </c>
      <c r="K324" s="101">
        <f>IFERROR(IF(D324=_Datum,Prognoseparameter!$C$14,
IF(_WachstumsrateKURZ="Bundesweit",IF(D324&gt;_Datum,
         K323+AVERAGE(F320:F323)*(1+_WR)*(1-(K323-VLOOKUP('Erkrankungs- und Strukturdaten'!$C$45,$D:$M,$K$1,FALSE))/$B$16),
         K325-$B$23*F325),
IF(D324&gt;_Datum,K323+G324,IF(G325="",K325/(K325^(1/N324)),K325-G325)))),"")</f>
        <v>0</v>
      </c>
      <c r="L324" s="64">
        <f>I324/'Erkrankungs- und Strukturdaten'!$C$7</f>
        <v>698672.72727272718</v>
      </c>
      <c r="M324" s="65">
        <f t="shared" si="32"/>
        <v>5.4581039499298767E-3</v>
      </c>
      <c r="N324" s="163">
        <v>217</v>
      </c>
      <c r="O324" s="221">
        <f t="shared" si="33"/>
        <v>1</v>
      </c>
    </row>
    <row r="325" spans="4:15" x14ac:dyDescent="0.2">
      <c r="D325" s="86">
        <v>44179</v>
      </c>
      <c r="E325" s="64">
        <f t="shared" si="34"/>
        <v>5915</v>
      </c>
      <c r="F325" s="101">
        <v>5915</v>
      </c>
      <c r="G325" s="140"/>
      <c r="H325" s="64">
        <f>E325/'Erkrankungs- und Strukturdaten'!$C$7</f>
        <v>10754.545454545454</v>
      </c>
      <c r="I325" s="64">
        <f t="shared" si="30"/>
        <v>390185</v>
      </c>
      <c r="J325" s="64">
        <f t="shared" si="31"/>
        <v>0</v>
      </c>
      <c r="K325" s="101">
        <f>IFERROR(IF(D325=_Datum,Prognoseparameter!$C$14,
IF(_WachstumsrateKURZ="Bundesweit",IF(D325&gt;_Datum,
         K324+AVERAGE(F321:F324)*(1+_WR)*(1-(K324-VLOOKUP('Erkrankungs- und Strukturdaten'!$C$45,$D:$M,$K$1,FALSE))/$B$16),
         K326-$B$23*F326),
IF(D325&gt;_Datum,K324+G325,IF(G326="",K326/(K326^(1/N325)),K326-G326)))),"")</f>
        <v>0</v>
      </c>
      <c r="L325" s="64">
        <f>I325/'Erkrankungs- und Strukturdaten'!$C$7</f>
        <v>709427.27272727271</v>
      </c>
      <c r="M325" s="65">
        <f t="shared" si="32"/>
        <v>1.539282275483384E-2</v>
      </c>
      <c r="N325" s="163">
        <v>217</v>
      </c>
      <c r="O325" s="221">
        <f t="shared" si="33"/>
        <v>1</v>
      </c>
    </row>
    <row r="326" spans="4:15" x14ac:dyDescent="0.2">
      <c r="D326" s="86">
        <v>44180</v>
      </c>
      <c r="E326" s="64">
        <f t="shared" si="34"/>
        <v>5165</v>
      </c>
      <c r="F326" s="101">
        <v>5165</v>
      </c>
      <c r="G326" s="140"/>
      <c r="H326" s="64">
        <f>E326/'Erkrankungs- und Strukturdaten'!$C$7</f>
        <v>9390.9090909090901</v>
      </c>
      <c r="I326" s="64">
        <f t="shared" ref="I326:I389" si="35">I325+F326</f>
        <v>395350</v>
      </c>
      <c r="J326" s="64">
        <f t="shared" si="31"/>
        <v>0</v>
      </c>
      <c r="K326" s="101">
        <f>IFERROR(IF(D326=_Datum,Prognoseparameter!$C$14,
IF(_WachstumsrateKURZ="Bundesweit",IF(D326&gt;_Datum,
         K325+AVERAGE(F322:F325)*(1+_WR)*(1-(K325-VLOOKUP('Erkrankungs- und Strukturdaten'!$C$45,$D:$M,$K$1,FALSE))/$B$16),
         K327-$B$23*F327),
IF(D326&gt;_Datum,K325+G326,IF(G327="",K327/(K327^(1/N326)),K327-G327)))),"")</f>
        <v>0</v>
      </c>
      <c r="L326" s="64">
        <f>I326/'Erkrankungs- und Strukturdaten'!$C$7</f>
        <v>718818.18181818177</v>
      </c>
      <c r="M326" s="65">
        <f t="shared" si="32"/>
        <v>1.3237310506554583E-2</v>
      </c>
      <c r="N326" s="163">
        <v>217</v>
      </c>
      <c r="O326" s="221">
        <f t="shared" si="33"/>
        <v>1</v>
      </c>
    </row>
    <row r="327" spans="4:15" x14ac:dyDescent="0.2">
      <c r="D327" s="86">
        <v>44181</v>
      </c>
      <c r="E327" s="64">
        <f t="shared" si="34"/>
        <v>4819</v>
      </c>
      <c r="F327" s="101">
        <v>4819</v>
      </c>
      <c r="G327" s="140"/>
      <c r="H327" s="64">
        <f>E327/'Erkrankungs- und Strukturdaten'!$C$7</f>
        <v>8761.818181818182</v>
      </c>
      <c r="I327" s="64">
        <f t="shared" si="35"/>
        <v>400169</v>
      </c>
      <c r="J327" s="64">
        <f t="shared" si="31"/>
        <v>0</v>
      </c>
      <c r="K327" s="101">
        <f>IFERROR(IF(D327=_Datum,Prognoseparameter!$C$14,
IF(_WachstumsrateKURZ="Bundesweit",IF(D327&gt;_Datum,
         K326+AVERAGE(F323:F326)*(1+_WR)*(1-(K326-VLOOKUP('Erkrankungs- und Strukturdaten'!$C$45,$D:$M,$K$1,FALSE))/$B$16),
         K328-$B$23*F328),
IF(D327&gt;_Datum,K326+G327,IF(G328="",K328/(K328^(1/N327)),K328-G328)))),"")</f>
        <v>0</v>
      </c>
      <c r="L327" s="64">
        <f>I327/'Erkrankungs- und Strukturdaten'!$C$7</f>
        <v>727579.99999999988</v>
      </c>
      <c r="M327" s="65">
        <f t="shared" si="32"/>
        <v>1.2189199443531048E-2</v>
      </c>
      <c r="N327" s="163">
        <v>217</v>
      </c>
      <c r="O327" s="221">
        <f t="shared" si="33"/>
        <v>1</v>
      </c>
    </row>
    <row r="328" spans="4:15" x14ac:dyDescent="0.2">
      <c r="D328" s="86">
        <v>44182</v>
      </c>
      <c r="E328" s="64">
        <f t="shared" si="34"/>
        <v>4387</v>
      </c>
      <c r="F328" s="101">
        <v>4387</v>
      </c>
      <c r="G328" s="140"/>
      <c r="H328" s="64">
        <f>E328/'Erkrankungs- und Strukturdaten'!$C$7</f>
        <v>7976.363636363636</v>
      </c>
      <c r="I328" s="64">
        <f t="shared" si="35"/>
        <v>404556</v>
      </c>
      <c r="J328" s="64">
        <f t="shared" si="31"/>
        <v>0</v>
      </c>
      <c r="K328" s="101">
        <f>IFERROR(IF(D328=_Datum,Prognoseparameter!$C$14,
IF(_WachstumsrateKURZ="Bundesweit",IF(D328&gt;_Datum,
         K327+AVERAGE(F324:F327)*(1+_WR)*(1-(K327-VLOOKUP('Erkrankungs- und Strukturdaten'!$C$45,$D:$M,$K$1,FALSE))/$B$16),
         K329-$B$23*F329),
IF(D328&gt;_Datum,K327+G328,IF(G329="",K329/(K329^(1/N328)),K329-G329)))),"")</f>
        <v>0</v>
      </c>
      <c r="L328" s="64">
        <f>I328/'Erkrankungs- und Strukturdaten'!$C$7</f>
        <v>735556.36363636353</v>
      </c>
      <c r="M328" s="65">
        <f t="shared" si="32"/>
        <v>1.096286818819049E-2</v>
      </c>
      <c r="N328" s="163">
        <v>217</v>
      </c>
      <c r="O328" s="221">
        <f t="shared" si="33"/>
        <v>1</v>
      </c>
    </row>
    <row r="329" spans="4:15" x14ac:dyDescent="0.2">
      <c r="D329" s="86">
        <v>44183</v>
      </c>
      <c r="E329" s="64">
        <f t="shared" si="34"/>
        <v>4342</v>
      </c>
      <c r="F329" s="101">
        <v>4342</v>
      </c>
      <c r="G329" s="140"/>
      <c r="H329" s="64">
        <f>E329/'Erkrankungs- und Strukturdaten'!$C$7</f>
        <v>7894.545454545454</v>
      </c>
      <c r="I329" s="64">
        <f t="shared" si="35"/>
        <v>408898</v>
      </c>
      <c r="J329" s="64">
        <f t="shared" si="31"/>
        <v>0</v>
      </c>
      <c r="K329" s="101">
        <f>IFERROR(IF(D329=_Datum,Prognoseparameter!$C$14,
IF(_WachstumsrateKURZ="Bundesweit",IF(D329&gt;_Datum,
         K328+AVERAGE(F325:F328)*(1+_WR)*(1-(K328-VLOOKUP('Erkrankungs- und Strukturdaten'!$C$45,$D:$M,$K$1,FALSE))/$B$16),
         K330-$B$23*F330),
IF(D329&gt;_Datum,K328+G329,IF(G330="",K330/(K330^(1/N329)),K330-G330)))),"")</f>
        <v>0</v>
      </c>
      <c r="L329" s="64">
        <f>I329/'Erkrankungs- und Strukturdaten'!$C$7</f>
        <v>743450.90909090906</v>
      </c>
      <c r="M329" s="65">
        <f t="shared" si="32"/>
        <v>1.0732753932706474E-2</v>
      </c>
      <c r="N329" s="163">
        <v>217</v>
      </c>
      <c r="O329" s="221">
        <f t="shared" si="33"/>
        <v>1</v>
      </c>
    </row>
    <row r="330" spans="4:15" x14ac:dyDescent="0.2">
      <c r="D330" s="86">
        <v>44184</v>
      </c>
      <c r="E330" s="64">
        <f t="shared" si="34"/>
        <v>2675</v>
      </c>
      <c r="F330" s="101">
        <v>2675</v>
      </c>
      <c r="G330" s="140"/>
      <c r="H330" s="64">
        <f>E330/'Erkrankungs- und Strukturdaten'!$C$7</f>
        <v>4863.6363636363631</v>
      </c>
      <c r="I330" s="64">
        <f t="shared" si="35"/>
        <v>411573</v>
      </c>
      <c r="J330" s="64">
        <f t="shared" ref="J330:J337" si="36">J329+G330</f>
        <v>0</v>
      </c>
      <c r="K330" s="101">
        <f>IFERROR(IF(D330=_Datum,Prognoseparameter!$C$14,
IF(_WachstumsrateKURZ="Bundesweit",IF(D330&gt;_Datum,
         K329+AVERAGE(F326:F329)*(1+_WR)*(1-(K329-VLOOKUP('Erkrankungs- und Strukturdaten'!$C$45,$D:$M,$K$1,FALSE))/$B$16),
         K331-$B$23*F331),
IF(D330&gt;_Datum,K329+G330,IF(G331="",K331/(K331^(1/N330)),K331-G331)))),"")</f>
        <v>0</v>
      </c>
      <c r="L330" s="64">
        <f>I330/'Erkrankungs- und Strukturdaten'!$C$7</f>
        <v>748314.54545454541</v>
      </c>
      <c r="M330" s="65">
        <f t="shared" ref="M330:M337" si="37">IFERROR((I330-I329)/I329,0)</f>
        <v>6.5419737929752649E-3</v>
      </c>
      <c r="N330" s="163">
        <v>217</v>
      </c>
      <c r="O330" s="221">
        <f t="shared" ref="O330:O337" si="38">IF(F330=ROUNDDOWN(F330,0),1,0)</f>
        <v>1</v>
      </c>
    </row>
    <row r="331" spans="4:15" x14ac:dyDescent="0.2">
      <c r="D331" s="86">
        <v>44185</v>
      </c>
      <c r="E331" s="64">
        <f t="shared" si="34"/>
        <v>1955</v>
      </c>
      <c r="F331" s="101">
        <v>1955</v>
      </c>
      <c r="G331" s="140"/>
      <c r="H331" s="64">
        <f>E331/'Erkrankungs- und Strukturdaten'!$C$7</f>
        <v>3554.545454545454</v>
      </c>
      <c r="I331" s="64">
        <f t="shared" si="35"/>
        <v>413528</v>
      </c>
      <c r="J331" s="64">
        <f t="shared" si="36"/>
        <v>0</v>
      </c>
      <c r="K331" s="101">
        <f>IFERROR(IF(D331=_Datum,Prognoseparameter!$C$14,
IF(_WachstumsrateKURZ="Bundesweit",IF(D331&gt;_Datum,
         K330+AVERAGE(F327:F330)*(1+_WR)*(1-(K330-VLOOKUP('Erkrankungs- und Strukturdaten'!$C$45,$D:$M,$K$1,FALSE))/$B$16),
         K332-$B$23*F332),
IF(D331&gt;_Datum,K330+G331,IF(G332="",K332/(K332^(1/N331)),K332-G332)))),"")</f>
        <v>0</v>
      </c>
      <c r="L331" s="64">
        <f>I331/'Erkrankungs- und Strukturdaten'!$C$7</f>
        <v>751869.09090909082</v>
      </c>
      <c r="M331" s="65">
        <f t="shared" si="37"/>
        <v>4.750068639099261E-3</v>
      </c>
      <c r="N331" s="163">
        <v>217</v>
      </c>
      <c r="O331" s="221">
        <f t="shared" si="38"/>
        <v>1</v>
      </c>
    </row>
    <row r="332" spans="4:15" x14ac:dyDescent="0.2">
      <c r="D332" s="86">
        <v>44186</v>
      </c>
      <c r="E332" s="64">
        <f t="shared" si="34"/>
        <v>5626</v>
      </c>
      <c r="F332" s="101">
        <v>5626</v>
      </c>
      <c r="G332" s="140"/>
      <c r="H332" s="64">
        <f>E332/'Erkrankungs- und Strukturdaten'!$C$7</f>
        <v>10229.090909090908</v>
      </c>
      <c r="I332" s="64">
        <f t="shared" si="35"/>
        <v>419154</v>
      </c>
      <c r="J332" s="64">
        <f t="shared" si="36"/>
        <v>0</v>
      </c>
      <c r="K332" s="101">
        <f>IFERROR(IF(D332=_Datum,Prognoseparameter!$C$14,
IF(_WachstumsrateKURZ="Bundesweit",IF(D332&gt;_Datum,
         K331+AVERAGE(F328:F331)*(1+_WR)*(1-(K331-VLOOKUP('Erkrankungs- und Strukturdaten'!$C$45,$D:$M,$K$1,FALSE))/$B$16),
         K333-$B$23*F333),
IF(D332&gt;_Datum,K331+G332,IF(G333="",K333/(K333^(1/N332)),K333-G333)))),"")</f>
        <v>0</v>
      </c>
      <c r="L332" s="64">
        <f>I332/'Erkrankungs- und Strukturdaten'!$C$7</f>
        <v>762098.18181818177</v>
      </c>
      <c r="M332" s="65">
        <f t="shared" si="37"/>
        <v>1.3604882861620012E-2</v>
      </c>
      <c r="N332" s="163">
        <v>217</v>
      </c>
      <c r="O332" s="221">
        <f t="shared" si="38"/>
        <v>1</v>
      </c>
    </row>
    <row r="333" spans="4:15" x14ac:dyDescent="0.2">
      <c r="D333" s="86">
        <v>44187</v>
      </c>
      <c r="E333" s="64">
        <f t="shared" si="34"/>
        <v>4603</v>
      </c>
      <c r="F333" s="101">
        <v>4603</v>
      </c>
      <c r="G333" s="140"/>
      <c r="H333" s="64">
        <f>E333/'Erkrankungs- und Strukturdaten'!$C$7</f>
        <v>8369.0909090909081</v>
      </c>
      <c r="I333" s="64">
        <f t="shared" si="35"/>
        <v>423757</v>
      </c>
      <c r="J333" s="64">
        <f t="shared" si="36"/>
        <v>0</v>
      </c>
      <c r="K333" s="101">
        <f>IFERROR(IF(D333=_Datum,Prognoseparameter!$C$14,
IF(_WachstumsrateKURZ="Bundesweit",IF(D333&gt;_Datum,
         K332+AVERAGE(F329:F332)*(1+_WR)*(1-(K332-VLOOKUP('Erkrankungs- und Strukturdaten'!$C$45,$D:$M,$K$1,FALSE))/$B$16),
         K334-$B$23*F334),
IF(D333&gt;_Datum,K332+G333,IF(G334="",K334/(K334^(1/N333)),K334-G334)))),"")</f>
        <v>0</v>
      </c>
      <c r="L333" s="64">
        <f>I333/'Erkrankungs- und Strukturdaten'!$C$7</f>
        <v>770467.27272727271</v>
      </c>
      <c r="M333" s="65">
        <f t="shared" si="37"/>
        <v>1.0981643978108285E-2</v>
      </c>
      <c r="N333" s="163">
        <v>217</v>
      </c>
      <c r="O333" s="221">
        <f t="shared" si="38"/>
        <v>1</v>
      </c>
    </row>
    <row r="334" spans="4:15" x14ac:dyDescent="0.2">
      <c r="D334" s="86">
        <v>44188</v>
      </c>
      <c r="E334" s="64">
        <f t="shared" si="34"/>
        <v>4474</v>
      </c>
      <c r="F334" s="101">
        <v>4474</v>
      </c>
      <c r="G334" s="140"/>
      <c r="H334" s="64">
        <f>E334/'Erkrankungs- und Strukturdaten'!$C$7</f>
        <v>8134.545454545454</v>
      </c>
      <c r="I334" s="64">
        <f t="shared" si="35"/>
        <v>428231</v>
      </c>
      <c r="J334" s="64">
        <f t="shared" si="36"/>
        <v>0</v>
      </c>
      <c r="K334" s="101">
        <f>IFERROR(IF(D334=_Datum,Prognoseparameter!$C$14,
IF(_WachstumsrateKURZ="Bundesweit",IF(D334&gt;_Datum,
         K333+AVERAGE(F330:F333)*(1+_WR)*(1-(K333-VLOOKUP('Erkrankungs- und Strukturdaten'!$C$45,$D:$M,$K$1,FALSE))/$B$16),
         K335-$B$23*F335),
IF(D334&gt;_Datum,K333+G334,IF(G335="",K335/(K335^(1/N334)),K335-G335)))),"")</f>
        <v>0</v>
      </c>
      <c r="L334" s="64">
        <f>I334/'Erkrankungs- und Strukturdaten'!$C$7</f>
        <v>778601.81818181812</v>
      </c>
      <c r="M334" s="65">
        <f t="shared" si="37"/>
        <v>1.0557937685985128E-2</v>
      </c>
      <c r="N334" s="163">
        <v>217</v>
      </c>
      <c r="O334" s="221">
        <f t="shared" si="38"/>
        <v>1</v>
      </c>
    </row>
    <row r="335" spans="4:15" x14ac:dyDescent="0.2">
      <c r="D335" s="86">
        <v>44189</v>
      </c>
      <c r="E335" s="64">
        <f t="shared" si="34"/>
        <v>3047</v>
      </c>
      <c r="F335" s="101">
        <v>3047</v>
      </c>
      <c r="G335" s="140"/>
      <c r="H335" s="64">
        <f>E335/'Erkrankungs- und Strukturdaten'!$C$7</f>
        <v>5540</v>
      </c>
      <c r="I335" s="64">
        <f t="shared" si="35"/>
        <v>431278</v>
      </c>
      <c r="J335" s="64">
        <f t="shared" si="36"/>
        <v>0</v>
      </c>
      <c r="K335" s="101">
        <f>IFERROR(IF(D335=_Datum,Prognoseparameter!$C$14,
IF(_WachstumsrateKURZ="Bundesweit",IF(D335&gt;_Datum,
         K334+AVERAGE(F331:F334)*(1+_WR)*(1-(K334-VLOOKUP('Erkrankungs- und Strukturdaten'!$C$45,$D:$M,$K$1,FALSE))/$B$16),
         K336-$B$23*F336),
IF(D335&gt;_Datum,K334+G335,IF(G336="",K336/(K336^(1/N335)),K336-G336)))),"")</f>
        <v>0</v>
      </c>
      <c r="L335" s="64">
        <f>I335/'Erkrankungs- und Strukturdaten'!$C$7</f>
        <v>784141.81818181812</v>
      </c>
      <c r="M335" s="65">
        <f t="shared" si="37"/>
        <v>7.1153186014090526E-3</v>
      </c>
      <c r="N335" s="163">
        <v>217</v>
      </c>
      <c r="O335" s="221">
        <f t="shared" si="38"/>
        <v>1</v>
      </c>
    </row>
    <row r="336" spans="4:15" x14ac:dyDescent="0.2">
      <c r="D336" s="86">
        <v>44190</v>
      </c>
      <c r="E336" s="64">
        <f t="shared" si="34"/>
        <v>1722</v>
      </c>
      <c r="F336" s="101">
        <v>1722</v>
      </c>
      <c r="G336" s="140"/>
      <c r="H336" s="64">
        <f>E336/'Erkrankungs- und Strukturdaten'!$C$7</f>
        <v>3130.9090909090905</v>
      </c>
      <c r="I336" s="64">
        <f t="shared" si="35"/>
        <v>433000</v>
      </c>
      <c r="J336" s="64">
        <f t="shared" si="36"/>
        <v>0</v>
      </c>
      <c r="K336" s="101">
        <f>IFERROR(IF(D336=_Datum,Prognoseparameter!$C$14,
IF(_WachstumsrateKURZ="Bundesweit",IF(D336&gt;_Datum,
         K335+AVERAGE(F332:F335)*(1+_WR)*(1-(K335-VLOOKUP('Erkrankungs- und Strukturdaten'!$C$45,$D:$M,$K$1,FALSE))/$B$16),
         K337-$B$23*F337),
IF(D336&gt;_Datum,K335+G336,IF(G337="",K337/(K337^(1/N336)),K337-G337)))),"")</f>
        <v>0</v>
      </c>
      <c r="L336" s="64">
        <f>I336/'Erkrankungs- und Strukturdaten'!$C$7</f>
        <v>787272.72727272718</v>
      </c>
      <c r="M336" s="65">
        <f t="shared" si="37"/>
        <v>3.9927842366176804E-3</v>
      </c>
      <c r="N336" s="163">
        <v>217</v>
      </c>
      <c r="O336" s="221">
        <f t="shared" si="38"/>
        <v>1</v>
      </c>
    </row>
    <row r="337" spans="4:15" x14ac:dyDescent="0.2">
      <c r="D337" s="86">
        <v>44191</v>
      </c>
      <c r="E337" s="64">
        <f t="shared" si="34"/>
        <v>2355</v>
      </c>
      <c r="F337" s="101">
        <v>2355</v>
      </c>
      <c r="G337" s="140"/>
      <c r="H337" s="64">
        <f>E337/'Erkrankungs- und Strukturdaten'!$C$7</f>
        <v>4281.8181818181811</v>
      </c>
      <c r="I337" s="64">
        <f t="shared" si="35"/>
        <v>435355</v>
      </c>
      <c r="J337" s="64">
        <f t="shared" si="36"/>
        <v>0</v>
      </c>
      <c r="K337" s="101">
        <f>IFERROR(IF(D337=_Datum,Prognoseparameter!$C$14,
IF(_WachstumsrateKURZ="Bundesweit",IF(D337&gt;_Datum,
         K336+AVERAGE(F333:F336)*(1+_WR)*(1-(K336-VLOOKUP('Erkrankungs- und Strukturdaten'!$C$45,$D:$M,$K$1,FALSE))/$B$16),
         K338-$B$23*F338),
IF(D337&gt;_Datum,K336+G337,IF(G338="",K338/(K338^(1/N337)),K338-G338)))),"")</f>
        <v>0</v>
      </c>
      <c r="L337" s="64">
        <f>I337/'Erkrankungs- und Strukturdaten'!$C$7</f>
        <v>791554.54545454541</v>
      </c>
      <c r="M337" s="65">
        <f t="shared" si="37"/>
        <v>5.4387990762124715E-3</v>
      </c>
      <c r="N337" s="163">
        <v>217</v>
      </c>
      <c r="O337" s="221">
        <f t="shared" si="38"/>
        <v>1</v>
      </c>
    </row>
    <row r="338" spans="4:15" x14ac:dyDescent="0.2">
      <c r="D338" s="86">
        <v>44192</v>
      </c>
      <c r="E338" s="64">
        <f t="shared" si="34"/>
        <v>2114</v>
      </c>
      <c r="F338" s="101">
        <v>2114</v>
      </c>
      <c r="G338" s="140"/>
      <c r="H338" s="64">
        <f>E338/'Erkrankungs- und Strukturdaten'!$C$7</f>
        <v>3843.6363636363635</v>
      </c>
      <c r="I338" s="64">
        <f t="shared" si="35"/>
        <v>437469</v>
      </c>
      <c r="J338" s="64">
        <f t="shared" ref="J338:J342" si="39">J337+G338</f>
        <v>0</v>
      </c>
      <c r="K338" s="101">
        <f>IFERROR(IF(D338=_Datum,Prognoseparameter!$C$14,
IF(_WachstumsrateKURZ="Bundesweit",IF(D338&gt;_Datum,
         K337+AVERAGE(F334:F337)*(1+_WR)*(1-(K337-VLOOKUP('Erkrankungs- und Strukturdaten'!$C$45,$D:$M,$K$1,FALSE))/$B$16),
         K339-$B$23*F339),
IF(D338&gt;_Datum,K337+G338,IF(G339="",K339/(K339^(1/N338)),K339-G339)))),"")</f>
        <v>0</v>
      </c>
      <c r="L338" s="64">
        <f>I338/'Erkrankungs- und Strukturdaten'!$C$7</f>
        <v>795398.18181818177</v>
      </c>
      <c r="M338" s="65">
        <f t="shared" ref="M338:M342" si="40">IFERROR((I338-I337)/I337,0)</f>
        <v>4.8558073296505154E-3</v>
      </c>
      <c r="N338" s="163">
        <v>217</v>
      </c>
      <c r="O338" s="221">
        <f t="shared" ref="O338:O342" si="41">IF(F338=ROUNDDOWN(F338,0),1,0)</f>
        <v>1</v>
      </c>
    </row>
    <row r="339" spans="4:15" x14ac:dyDescent="0.2">
      <c r="D339" s="86">
        <v>44193</v>
      </c>
      <c r="E339" s="64">
        <f t="shared" si="34"/>
        <v>5032</v>
      </c>
      <c r="F339" s="101">
        <v>5032</v>
      </c>
      <c r="G339" s="140"/>
      <c r="H339" s="64">
        <f>E339/'Erkrankungs- und Strukturdaten'!$C$7</f>
        <v>9149.0909090909081</v>
      </c>
      <c r="I339" s="64">
        <f t="shared" si="35"/>
        <v>442501</v>
      </c>
      <c r="J339" s="64">
        <f t="shared" si="39"/>
        <v>0</v>
      </c>
      <c r="K339" s="101">
        <f>IFERROR(IF(D339=_Datum,Prognoseparameter!$C$14,
IF(_WachstumsrateKURZ="Bundesweit",IF(D339&gt;_Datum,
         K338+AVERAGE(F335:F338)*(1+_WR)*(1-(K338-VLOOKUP('Erkrankungs- und Strukturdaten'!$C$45,$D:$M,$K$1,FALSE))/$B$16),
         K340-$B$23*F340),
IF(D339&gt;_Datum,K338+G339,IF(G340="",K340/(K340^(1/N339)),K340-G340)))),"")</f>
        <v>0</v>
      </c>
      <c r="L339" s="64">
        <f>I339/'Erkrankungs- und Strukturdaten'!$C$7</f>
        <v>804547.27272727271</v>
      </c>
      <c r="M339" s="65">
        <f t="shared" si="40"/>
        <v>1.1502529322077678E-2</v>
      </c>
      <c r="N339" s="163">
        <v>217</v>
      </c>
      <c r="O339" s="221">
        <f t="shared" si="41"/>
        <v>1</v>
      </c>
    </row>
    <row r="340" spans="4:15" x14ac:dyDescent="0.2">
      <c r="D340" s="86">
        <v>44194</v>
      </c>
      <c r="E340" s="64">
        <f t="shared" si="34"/>
        <v>4462</v>
      </c>
      <c r="F340" s="101">
        <v>4462</v>
      </c>
      <c r="G340" s="140"/>
      <c r="H340" s="64">
        <f>E340/'Erkrankungs- und Strukturdaten'!$C$7</f>
        <v>8112.7272727272721</v>
      </c>
      <c r="I340" s="64">
        <f t="shared" si="35"/>
        <v>446963</v>
      </c>
      <c r="J340" s="64">
        <f t="shared" si="39"/>
        <v>0</v>
      </c>
      <c r="K340" s="101">
        <f>IFERROR(IF(D340=_Datum,Prognoseparameter!$C$14,
IF(_WachstumsrateKURZ="Bundesweit",IF(D340&gt;_Datum,
         K339+AVERAGE(F336:F339)*(1+_WR)*(1-(K339-VLOOKUP('Erkrankungs- und Strukturdaten'!$C$45,$D:$M,$K$1,FALSE))/$B$16),
         K341-$B$23*F341),
IF(D340&gt;_Datum,K339+G340,IF(G341="",K341/(K341^(1/N340)),K341-G341)))),"")</f>
        <v>0</v>
      </c>
      <c r="L340" s="64">
        <f>I340/'Erkrankungs- und Strukturdaten'!$C$7</f>
        <v>812659.99999999988</v>
      </c>
      <c r="M340" s="65">
        <f t="shared" si="40"/>
        <v>1.0083593031428178E-2</v>
      </c>
      <c r="N340" s="163">
        <v>217</v>
      </c>
      <c r="O340" s="221">
        <f t="shared" si="41"/>
        <v>1</v>
      </c>
    </row>
    <row r="341" spans="4:15" x14ac:dyDescent="0.2">
      <c r="D341" s="86">
        <v>44195</v>
      </c>
      <c r="E341" s="64">
        <f t="shared" si="34"/>
        <v>4210</v>
      </c>
      <c r="F341" s="101">
        <v>4210</v>
      </c>
      <c r="G341" s="140"/>
      <c r="H341" s="64">
        <f>E341/'Erkrankungs- und Strukturdaten'!$C$7</f>
        <v>7654.545454545454</v>
      </c>
      <c r="I341" s="64">
        <f t="shared" si="35"/>
        <v>451173</v>
      </c>
      <c r="J341" s="64">
        <f t="shared" si="39"/>
        <v>0</v>
      </c>
      <c r="K341" s="101">
        <f>IFERROR(IF(D341=_Datum,Prognoseparameter!$C$14,
IF(_WachstumsrateKURZ="Bundesweit",IF(D341&gt;_Datum,
         K340+AVERAGE(F337:F340)*(1+_WR)*(1-(K340-VLOOKUP('Erkrankungs- und Strukturdaten'!$C$45,$D:$M,$K$1,FALSE))/$B$16),
         K342-$B$23*F342),
IF(D341&gt;_Datum,K340+G341,IF(G342="",K342/(K342^(1/N341)),K342-G342)))),"")</f>
        <v>0</v>
      </c>
      <c r="L341" s="64">
        <f>I341/'Erkrankungs- und Strukturdaten'!$C$7</f>
        <v>820314.54545454541</v>
      </c>
      <c r="M341" s="65">
        <f t="shared" si="40"/>
        <v>9.4191241780639569E-3</v>
      </c>
      <c r="N341" s="163">
        <v>217</v>
      </c>
      <c r="O341" s="221">
        <f t="shared" si="41"/>
        <v>1</v>
      </c>
    </row>
    <row r="342" spans="4:15" x14ac:dyDescent="0.2">
      <c r="D342" s="86">
        <v>44196</v>
      </c>
      <c r="E342" s="64">
        <f t="shared" si="34"/>
        <v>3054</v>
      </c>
      <c r="F342" s="101">
        <v>3054</v>
      </c>
      <c r="G342" s="140"/>
      <c r="H342" s="64">
        <f>E342/'Erkrankungs- und Strukturdaten'!$C$7</f>
        <v>5552.7272727272721</v>
      </c>
      <c r="I342" s="64">
        <f t="shared" si="35"/>
        <v>454227</v>
      </c>
      <c r="J342" s="64">
        <f t="shared" si="39"/>
        <v>0</v>
      </c>
      <c r="K342" s="101">
        <f>IFERROR(IF(D342=_Datum,Prognoseparameter!$C$14,
IF(_WachstumsrateKURZ="Bundesweit",IF(D342&gt;_Datum,
         K341+AVERAGE(F338:F341)*(1+_WR)*(1-(K341-VLOOKUP('Erkrankungs- und Strukturdaten'!$C$45,$D:$M,$K$1,FALSE))/$B$16),
         K343-$B$23*F343),
IF(D342&gt;_Datum,K341+G342,IF(G343="",K343/(K343^(1/N342)),K343-G343)))),"")</f>
        <v>0</v>
      </c>
      <c r="L342" s="64">
        <f>I342/'Erkrankungs- und Strukturdaten'!$C$7</f>
        <v>825867.27272727271</v>
      </c>
      <c r="M342" s="65">
        <f t="shared" si="40"/>
        <v>6.7690220824384436E-3</v>
      </c>
      <c r="N342" s="163">
        <v>217</v>
      </c>
      <c r="O342" s="221">
        <f t="shared" si="41"/>
        <v>1</v>
      </c>
    </row>
    <row r="343" spans="4:15" x14ac:dyDescent="0.2">
      <c r="D343" s="86">
        <v>44197</v>
      </c>
      <c r="E343" s="64">
        <f t="shared" si="34"/>
        <v>1679</v>
      </c>
      <c r="F343" s="101">
        <v>1679</v>
      </c>
      <c r="G343" s="140"/>
      <c r="H343" s="64">
        <f>E343/'Erkrankungs- und Strukturdaten'!$C$7</f>
        <v>3052.7272727272725</v>
      </c>
      <c r="I343" s="64">
        <f t="shared" si="35"/>
        <v>455906</v>
      </c>
      <c r="J343" s="64">
        <f t="shared" ref="J343:J406" si="42">J342+G343</f>
        <v>0</v>
      </c>
      <c r="K343" s="101">
        <f>IFERROR(IF(D343=_Datum,Prognoseparameter!$C$14,
IF(_WachstumsrateKURZ="Bundesweit",IF(D343&gt;_Datum,
         K342+AVERAGE(F339:F342)*(1+_WR)*(1-(K342-VLOOKUP('Erkrankungs- und Strukturdaten'!$C$45,$D:$M,$K$1,FALSE))/$B$16),
         K344-$B$23*F344),
IF(D343&gt;_Datum,K342+G343,IF(G344="",K344/(K344^(1/N343)),K344-G344)))),"")</f>
        <v>0</v>
      </c>
      <c r="L343" s="64">
        <f>I343/'Erkrankungs- und Strukturdaten'!$C$7</f>
        <v>828919.99999999988</v>
      </c>
      <c r="M343" s="65">
        <f t="shared" ref="M343:M406" si="43">IFERROR((I343-I342)/I342,0)</f>
        <v>3.6963896906172466E-3</v>
      </c>
      <c r="N343" s="163">
        <v>217</v>
      </c>
      <c r="O343" s="222">
        <f t="shared" ref="O343:O406" si="44">IF(F343=ROUNDDOWN(F343,0),1,0)</f>
        <v>1</v>
      </c>
    </row>
    <row r="344" spans="4:15" x14ac:dyDescent="0.2">
      <c r="D344" s="86">
        <v>44198</v>
      </c>
      <c r="E344" s="64">
        <f t="shared" si="34"/>
        <v>2716</v>
      </c>
      <c r="F344" s="101">
        <v>2716</v>
      </c>
      <c r="G344" s="140"/>
      <c r="H344" s="64">
        <f>E344/'Erkrankungs- und Strukturdaten'!$C$7</f>
        <v>4938.181818181818</v>
      </c>
      <c r="I344" s="64">
        <f t="shared" si="35"/>
        <v>458622</v>
      </c>
      <c r="J344" s="64">
        <f t="shared" si="42"/>
        <v>0</v>
      </c>
      <c r="K344" s="101">
        <f>IFERROR(IF(D344=_Datum,Prognoseparameter!$C$14,
IF(_WachstumsrateKURZ="Bundesweit",IF(D344&gt;_Datum,
         K343+AVERAGE(F340:F343)*(1+_WR)*(1-(K343-VLOOKUP('Erkrankungs- und Strukturdaten'!$C$45,$D:$M,$K$1,FALSE))/$B$16),
         K345-$B$23*F345),
IF(D344&gt;_Datum,K343+G344,IF(G345="",K345/(K345^(1/N344)),K345-G345)))),"")</f>
        <v>0</v>
      </c>
      <c r="L344" s="64">
        <f>I344/'Erkrankungs- und Strukturdaten'!$C$7</f>
        <v>833858.18181818177</v>
      </c>
      <c r="M344" s="65">
        <f t="shared" si="43"/>
        <v>5.9573684048904816E-3</v>
      </c>
      <c r="N344" s="163">
        <v>217</v>
      </c>
      <c r="O344" s="222">
        <f t="shared" si="44"/>
        <v>1</v>
      </c>
    </row>
    <row r="345" spans="4:15" x14ac:dyDescent="0.2">
      <c r="D345" s="86">
        <v>44199</v>
      </c>
      <c r="E345" s="64">
        <f t="shared" si="34"/>
        <v>2219</v>
      </c>
      <c r="F345" s="101">
        <v>2219</v>
      </c>
      <c r="G345" s="140"/>
      <c r="H345" s="64">
        <f>E345/'Erkrankungs- und Strukturdaten'!$C$7</f>
        <v>4034.545454545454</v>
      </c>
      <c r="I345" s="64">
        <f t="shared" si="35"/>
        <v>460841</v>
      </c>
      <c r="J345" s="64">
        <f t="shared" si="42"/>
        <v>0</v>
      </c>
      <c r="K345" s="101">
        <f>IFERROR(IF(D345=_Datum,Prognoseparameter!$C$14,
IF(_WachstumsrateKURZ="Bundesweit",IF(D345&gt;_Datum,
         K344+AVERAGE(F341:F344)*(1+_WR)*(1-(K344-VLOOKUP('Erkrankungs- und Strukturdaten'!$C$45,$D:$M,$K$1,FALSE))/$B$16),
         K346-$B$23*F346),
IF(D345&gt;_Datum,K344+G345,IF(G346="",K346/(K346^(1/N345)),K346-G346)))),"")</f>
        <v>0</v>
      </c>
      <c r="L345" s="64">
        <f>I345/'Erkrankungs- und Strukturdaten'!$C$7</f>
        <v>837892.72727272718</v>
      </c>
      <c r="M345" s="65">
        <f t="shared" si="43"/>
        <v>4.8384072286109256E-3</v>
      </c>
      <c r="N345" s="163">
        <v>217</v>
      </c>
      <c r="O345" s="222">
        <f t="shared" si="44"/>
        <v>1</v>
      </c>
    </row>
    <row r="346" spans="4:15" x14ac:dyDescent="0.2">
      <c r="D346" s="86">
        <v>44200</v>
      </c>
      <c r="E346" s="64">
        <f t="shared" si="34"/>
        <v>5278</v>
      </c>
      <c r="F346" s="101">
        <v>5278</v>
      </c>
      <c r="G346" s="140"/>
      <c r="H346" s="64">
        <f>E346/'Erkrankungs- und Strukturdaten'!$C$7</f>
        <v>9596.363636363636</v>
      </c>
      <c r="I346" s="64">
        <f t="shared" si="35"/>
        <v>466119</v>
      </c>
      <c r="J346" s="64">
        <f t="shared" si="42"/>
        <v>0</v>
      </c>
      <c r="K346" s="101">
        <f>IFERROR(IF(D346=_Datum,Prognoseparameter!$C$14,
IF(_WachstumsrateKURZ="Bundesweit",IF(D346&gt;_Datum,
         K345+AVERAGE(F342:F345)*(1+_WR)*(1-(K345-VLOOKUP('Erkrankungs- und Strukturdaten'!$C$45,$D:$M,$K$1,FALSE))/$B$16),
         K347-$B$23*F347),
IF(D346&gt;_Datum,K345+G346,IF(G347="",K347/(K347^(1/N346)),K347-G347)))),"")</f>
        <v>0</v>
      </c>
      <c r="L346" s="64">
        <f>I346/'Erkrankungs- und Strukturdaten'!$C$7</f>
        <v>847489.09090909082</v>
      </c>
      <c r="M346" s="65">
        <f t="shared" si="43"/>
        <v>1.145297401923874E-2</v>
      </c>
      <c r="N346" s="163">
        <v>217</v>
      </c>
      <c r="O346" s="222">
        <f t="shared" si="44"/>
        <v>1</v>
      </c>
    </row>
    <row r="347" spans="4:15" x14ac:dyDescent="0.2">
      <c r="D347" s="86">
        <v>44201</v>
      </c>
      <c r="E347" s="64">
        <f t="shared" si="34"/>
        <v>4165</v>
      </c>
      <c r="F347" s="101">
        <v>4165</v>
      </c>
      <c r="G347" s="140"/>
      <c r="H347" s="64">
        <f>E347/'Erkrankungs- und Strukturdaten'!$C$7</f>
        <v>7572.7272727272721</v>
      </c>
      <c r="I347" s="64">
        <f t="shared" si="35"/>
        <v>470284</v>
      </c>
      <c r="J347" s="64">
        <f t="shared" si="42"/>
        <v>0</v>
      </c>
      <c r="K347" s="101">
        <f>IFERROR(IF(D347=_Datum,Prognoseparameter!$C$14,
IF(_WachstumsrateKURZ="Bundesweit",IF(D347&gt;_Datum,
         K346+AVERAGE(F343:F346)*(1+_WR)*(1-(K346-VLOOKUP('Erkrankungs- und Strukturdaten'!$C$45,$D:$M,$K$1,FALSE))/$B$16),
         K348-$B$23*F348),
IF(D347&gt;_Datum,K346+G347,IF(G348="",K348/(K348^(1/N347)),K348-G348)))),"")</f>
        <v>0</v>
      </c>
      <c r="L347" s="64">
        <f>I347/'Erkrankungs- und Strukturdaten'!$C$7</f>
        <v>855061.81818181812</v>
      </c>
      <c r="M347" s="65">
        <f t="shared" si="43"/>
        <v>8.9354864315764858E-3</v>
      </c>
      <c r="N347" s="163">
        <v>217</v>
      </c>
      <c r="O347" s="222">
        <f t="shared" si="44"/>
        <v>1</v>
      </c>
    </row>
    <row r="348" spans="4:15" x14ac:dyDescent="0.2">
      <c r="D348" s="86">
        <v>44202</v>
      </c>
      <c r="E348" s="64">
        <f t="shared" si="34"/>
        <v>3348</v>
      </c>
      <c r="F348" s="101">
        <v>3348</v>
      </c>
      <c r="G348" s="140"/>
      <c r="H348" s="64">
        <f>E348/'Erkrankungs- und Strukturdaten'!$C$7</f>
        <v>6087.272727272727</v>
      </c>
      <c r="I348" s="64">
        <f t="shared" si="35"/>
        <v>473632</v>
      </c>
      <c r="J348" s="64">
        <f t="shared" si="42"/>
        <v>0</v>
      </c>
      <c r="K348" s="101">
        <f>IFERROR(IF(D348=_Datum,Prognoseparameter!$C$14,
IF(_WachstumsrateKURZ="Bundesweit",IF(D348&gt;_Datum,
         K347+AVERAGE(F344:F347)*(1+_WR)*(1-(K347-VLOOKUP('Erkrankungs- und Strukturdaten'!$C$45,$D:$M,$K$1,FALSE))/$B$16),
         K349-$B$23*F349),
IF(D348&gt;_Datum,K347+G348,IF(G349="",K349/(K349^(1/N348)),K349-G349)))),"")</f>
        <v>0</v>
      </c>
      <c r="L348" s="64">
        <f>I348/'Erkrankungs- und Strukturdaten'!$C$7</f>
        <v>861149.09090909082</v>
      </c>
      <c r="M348" s="65">
        <f t="shared" si="43"/>
        <v>7.1191024997660987E-3</v>
      </c>
      <c r="N348" s="163">
        <v>217</v>
      </c>
      <c r="O348" s="222">
        <f t="shared" si="44"/>
        <v>1</v>
      </c>
    </row>
    <row r="349" spans="4:15" x14ac:dyDescent="0.2">
      <c r="D349" s="86">
        <v>44203</v>
      </c>
      <c r="E349" s="64">
        <f t="shared" si="34"/>
        <v>3176</v>
      </c>
      <c r="F349" s="101">
        <v>3176</v>
      </c>
      <c r="G349" s="140"/>
      <c r="H349" s="64">
        <f>E349/'Erkrankungs- und Strukturdaten'!$C$7</f>
        <v>5774.545454545454</v>
      </c>
      <c r="I349" s="64">
        <f t="shared" si="35"/>
        <v>476808</v>
      </c>
      <c r="J349" s="64">
        <f t="shared" si="42"/>
        <v>0</v>
      </c>
      <c r="K349" s="101">
        <f>IFERROR(IF(D349=_Datum,Prognoseparameter!$C$14,
IF(_WachstumsrateKURZ="Bundesweit",IF(D349&gt;_Datum,
         K348+AVERAGE(F345:F348)*(1+_WR)*(1-(K348-VLOOKUP('Erkrankungs- und Strukturdaten'!$C$45,$D:$M,$K$1,FALSE))/$B$16),
         K350-$B$23*F350),
IF(D349&gt;_Datum,K348+G349,IF(G350="",K350/(K350^(1/N349)),K350-G350)))),"")</f>
        <v>0</v>
      </c>
      <c r="L349" s="64">
        <f>I349/'Erkrankungs- und Strukturdaten'!$C$7</f>
        <v>866923.63636363624</v>
      </c>
      <c r="M349" s="65">
        <f t="shared" si="43"/>
        <v>6.7056279981082363E-3</v>
      </c>
      <c r="N349" s="163">
        <v>217</v>
      </c>
      <c r="O349" s="222">
        <f t="shared" si="44"/>
        <v>1</v>
      </c>
    </row>
    <row r="350" spans="4:15" x14ac:dyDescent="0.2">
      <c r="D350" s="86">
        <v>44204</v>
      </c>
      <c r="E350" s="64">
        <f t="shared" si="34"/>
        <v>3049</v>
      </c>
      <c r="F350" s="101">
        <v>3049</v>
      </c>
      <c r="G350" s="140"/>
      <c r="H350" s="64">
        <f>E350/'Erkrankungs- und Strukturdaten'!$C$7</f>
        <v>5543.6363636363631</v>
      </c>
      <c r="I350" s="64">
        <f t="shared" si="35"/>
        <v>479857</v>
      </c>
      <c r="J350" s="64">
        <f t="shared" si="42"/>
        <v>0</v>
      </c>
      <c r="K350" s="101">
        <f>IFERROR(IF(D350=_Datum,Prognoseparameter!$C$14,
IF(_WachstumsrateKURZ="Bundesweit",IF(D350&gt;_Datum,
         K349+AVERAGE(F346:F349)*(1+_WR)*(1-(K349-VLOOKUP('Erkrankungs- und Strukturdaten'!$C$45,$D:$M,$K$1,FALSE))/$B$16),
         K351-$B$23*F351),
IF(D350&gt;_Datum,K349+G350,IF(G351="",K351/(K351^(1/N350)),K351-G351)))),"")</f>
        <v>0</v>
      </c>
      <c r="L350" s="64">
        <f>I350/'Erkrankungs- und Strukturdaten'!$C$7</f>
        <v>872467.27272727271</v>
      </c>
      <c r="M350" s="65">
        <f t="shared" si="43"/>
        <v>6.3946074730289763E-3</v>
      </c>
      <c r="N350" s="163">
        <v>217</v>
      </c>
      <c r="O350" s="222">
        <f t="shared" si="44"/>
        <v>1</v>
      </c>
    </row>
    <row r="351" spans="4:15" x14ac:dyDescent="0.2">
      <c r="D351" s="86">
        <v>44205</v>
      </c>
      <c r="E351" s="64">
        <f t="shared" si="34"/>
        <v>1682</v>
      </c>
      <c r="F351" s="101">
        <v>1682</v>
      </c>
      <c r="G351" s="140"/>
      <c r="H351" s="64">
        <f>E351/'Erkrankungs- und Strukturdaten'!$C$7</f>
        <v>3058.181818181818</v>
      </c>
      <c r="I351" s="64">
        <f t="shared" si="35"/>
        <v>481539</v>
      </c>
      <c r="J351" s="64">
        <f t="shared" si="42"/>
        <v>0</v>
      </c>
      <c r="K351" s="101">
        <f>IFERROR(IF(D351=_Datum,Prognoseparameter!$C$14,
IF(_WachstumsrateKURZ="Bundesweit",IF(D351&gt;_Datum,
         K350+AVERAGE(F347:F350)*(1+_WR)*(1-(K350-VLOOKUP('Erkrankungs- und Strukturdaten'!$C$45,$D:$M,$K$1,FALSE))/$B$16),
         K352-$B$23*F352),
IF(D351&gt;_Datum,K350+G351,IF(G352="",K352/(K352^(1/N351)),K352-G352)))),"")</f>
        <v>0</v>
      </c>
      <c r="L351" s="64">
        <f>I351/'Erkrankungs- und Strukturdaten'!$C$7</f>
        <v>875525.45454545447</v>
      </c>
      <c r="M351" s="65">
        <f t="shared" si="43"/>
        <v>3.5052109274221277E-3</v>
      </c>
      <c r="N351" s="163">
        <v>217</v>
      </c>
      <c r="O351" s="222">
        <f t="shared" si="44"/>
        <v>1</v>
      </c>
    </row>
    <row r="352" spans="4:15" x14ac:dyDescent="0.2">
      <c r="D352" s="86">
        <v>44206</v>
      </c>
      <c r="E352" s="64">
        <f t="shared" si="34"/>
        <v>1293</v>
      </c>
      <c r="F352" s="101">
        <v>1293</v>
      </c>
      <c r="G352" s="140"/>
      <c r="H352" s="64">
        <f>E352/'Erkrankungs- und Strukturdaten'!$C$7</f>
        <v>2350.9090909090905</v>
      </c>
      <c r="I352" s="64">
        <f t="shared" si="35"/>
        <v>482832</v>
      </c>
      <c r="J352" s="64">
        <f t="shared" si="42"/>
        <v>0</v>
      </c>
      <c r="K352" s="101">
        <f>IFERROR(IF(D352=_Datum,Prognoseparameter!$C$14,
IF(_WachstumsrateKURZ="Bundesweit",IF(D352&gt;_Datum,
         K351+AVERAGE(F348:F351)*(1+_WR)*(1-(K351-VLOOKUP('Erkrankungs- und Strukturdaten'!$C$45,$D:$M,$K$1,FALSE))/$B$16),
         K353-$B$23*F353),
IF(D352&gt;_Datum,K351+G352,IF(G353="",K353/(K353^(1/N352)),K353-G353)))),"")</f>
        <v>0</v>
      </c>
      <c r="L352" s="64">
        <f>I352/'Erkrankungs- und Strukturdaten'!$C$7</f>
        <v>877876.36363636353</v>
      </c>
      <c r="M352" s="65">
        <f t="shared" si="43"/>
        <v>2.6851407674144774E-3</v>
      </c>
      <c r="N352" s="163">
        <v>217</v>
      </c>
      <c r="O352" s="222">
        <f t="shared" si="44"/>
        <v>1</v>
      </c>
    </row>
    <row r="353" spans="4:15" x14ac:dyDescent="0.2">
      <c r="D353" s="86">
        <v>44207</v>
      </c>
      <c r="E353" s="64">
        <f t="shared" si="34"/>
        <v>3459</v>
      </c>
      <c r="F353" s="101">
        <v>3459</v>
      </c>
      <c r="G353" s="140"/>
      <c r="H353" s="64">
        <f>E353/'Erkrankungs- und Strukturdaten'!$C$7</f>
        <v>6289.090909090909</v>
      </c>
      <c r="I353" s="64">
        <f t="shared" si="35"/>
        <v>486291</v>
      </c>
      <c r="J353" s="64">
        <f t="shared" si="42"/>
        <v>0</v>
      </c>
      <c r="K353" s="101">
        <f>IFERROR(IF(D353=_Datum,Prognoseparameter!$C$14,
IF(_WachstumsrateKURZ="Bundesweit",IF(D353&gt;_Datum,
         K352+AVERAGE(F349:F352)*(1+_WR)*(1-(K352-VLOOKUP('Erkrankungs- und Strukturdaten'!$C$45,$D:$M,$K$1,FALSE))/$B$16),
         K354-$B$23*F354),
IF(D353&gt;_Datum,K352+G353,IF(G354="",K354/(K354^(1/N353)),K354-G354)))),"")</f>
        <v>0</v>
      </c>
      <c r="L353" s="64">
        <f>I353/'Erkrankungs- und Strukturdaten'!$C$7</f>
        <v>884165.45454545447</v>
      </c>
      <c r="M353" s="65">
        <f t="shared" si="43"/>
        <v>7.1639825032309371E-3</v>
      </c>
      <c r="N353" s="163">
        <v>217</v>
      </c>
      <c r="O353" s="222">
        <f t="shared" si="44"/>
        <v>1</v>
      </c>
    </row>
    <row r="354" spans="4:15" x14ac:dyDescent="0.2">
      <c r="D354" s="86">
        <v>44208</v>
      </c>
      <c r="E354" s="64">
        <f t="shared" si="34"/>
        <v>2607</v>
      </c>
      <c r="F354" s="101">
        <v>2607</v>
      </c>
      <c r="G354" s="140"/>
      <c r="H354" s="64">
        <f>E354/'Erkrankungs- und Strukturdaten'!$C$7</f>
        <v>4740</v>
      </c>
      <c r="I354" s="64">
        <f t="shared" si="35"/>
        <v>488898</v>
      </c>
      <c r="J354" s="64">
        <f t="shared" si="42"/>
        <v>0</v>
      </c>
      <c r="K354" s="101">
        <f>IFERROR(IF(D354=_Datum,Prognoseparameter!$C$14,
IF(_WachstumsrateKURZ="Bundesweit",IF(D354&gt;_Datum,
         K353+AVERAGE(F350:F353)*(1+_WR)*(1-(K353-VLOOKUP('Erkrankungs- und Strukturdaten'!$C$45,$D:$M,$K$1,FALSE))/$B$16),
         K355-$B$23*F355),
IF(D354&gt;_Datum,K353+G354,IF(G355="",K355/(K355^(1/N354)),K355-G355)))),"")</f>
        <v>0</v>
      </c>
      <c r="L354" s="64">
        <f>I354/'Erkrankungs- und Strukturdaten'!$C$7</f>
        <v>888905.45454545447</v>
      </c>
      <c r="M354" s="65">
        <f t="shared" si="43"/>
        <v>5.3609875568332542E-3</v>
      </c>
      <c r="N354" s="163">
        <v>217</v>
      </c>
      <c r="O354" s="222">
        <f t="shared" si="44"/>
        <v>1</v>
      </c>
    </row>
    <row r="355" spans="4:15" x14ac:dyDescent="0.2">
      <c r="D355" s="86">
        <v>44209</v>
      </c>
      <c r="E355" s="64">
        <f t="shared" si="34"/>
        <v>2461</v>
      </c>
      <c r="F355" s="101">
        <v>2461</v>
      </c>
      <c r="G355" s="140"/>
      <c r="H355" s="64">
        <f>E355/'Erkrankungs- und Strukturdaten'!$C$7</f>
        <v>4474.545454545454</v>
      </c>
      <c r="I355" s="64">
        <f t="shared" si="35"/>
        <v>491359</v>
      </c>
      <c r="J355" s="64">
        <f t="shared" si="42"/>
        <v>0</v>
      </c>
      <c r="K355" s="101">
        <f>IFERROR(IF(D355=_Datum,Prognoseparameter!$C$14,
IF(_WachstumsrateKURZ="Bundesweit",IF(D355&gt;_Datum,
         K354+AVERAGE(F351:F354)*(1+_WR)*(1-(K354-VLOOKUP('Erkrankungs- und Strukturdaten'!$C$45,$D:$M,$K$1,FALSE))/$B$16),
         K356-$B$23*F356),
IF(D355&gt;_Datum,K354+G355,IF(G356="",K356/(K356^(1/N355)),K356-G356)))),"")</f>
        <v>0</v>
      </c>
      <c r="L355" s="64">
        <f>I355/'Erkrankungs- und Strukturdaten'!$C$7</f>
        <v>893379.99999999988</v>
      </c>
      <c r="M355" s="65">
        <f t="shared" si="43"/>
        <v>5.0337698251987119E-3</v>
      </c>
      <c r="N355" s="163">
        <v>217</v>
      </c>
      <c r="O355" s="222">
        <f t="shared" si="44"/>
        <v>1</v>
      </c>
    </row>
    <row r="356" spans="4:15" x14ac:dyDescent="0.2">
      <c r="D356" s="86">
        <v>44210</v>
      </c>
      <c r="E356" s="64">
        <f t="shared" si="34"/>
        <v>2239</v>
      </c>
      <c r="F356" s="101">
        <v>2239</v>
      </c>
      <c r="G356" s="140"/>
      <c r="H356" s="64">
        <f>E356/'Erkrankungs- und Strukturdaten'!$C$7</f>
        <v>4070.9090909090905</v>
      </c>
      <c r="I356" s="64">
        <f t="shared" si="35"/>
        <v>493598</v>
      </c>
      <c r="J356" s="64">
        <f t="shared" si="42"/>
        <v>0</v>
      </c>
      <c r="K356" s="101">
        <f>IFERROR(IF(D356=_Datum,Prognoseparameter!$C$14,
IF(_WachstumsrateKURZ="Bundesweit",IF(D356&gt;_Datum,
         K355+AVERAGE(F352:F355)*(1+_WR)*(1-(K355-VLOOKUP('Erkrankungs- und Strukturdaten'!$C$45,$D:$M,$K$1,FALSE))/$B$16),
         K357-$B$23*F357),
IF(D356&gt;_Datum,K355+G356,IF(G357="",K357/(K357^(1/N356)),K357-G357)))),"")</f>
        <v>0</v>
      </c>
      <c r="L356" s="64">
        <f>I356/'Erkrankungs- und Strukturdaten'!$C$7</f>
        <v>897450.90909090906</v>
      </c>
      <c r="M356" s="65">
        <f t="shared" si="43"/>
        <v>4.5567497491650708E-3</v>
      </c>
      <c r="N356" s="163">
        <v>217</v>
      </c>
      <c r="O356" s="222">
        <f t="shared" si="44"/>
        <v>1</v>
      </c>
    </row>
    <row r="357" spans="4:15" x14ac:dyDescent="0.2">
      <c r="D357" s="86">
        <v>44211</v>
      </c>
      <c r="E357" s="64">
        <f t="shared" si="34"/>
        <v>2159</v>
      </c>
      <c r="F357" s="101">
        <v>2159</v>
      </c>
      <c r="G357" s="140"/>
      <c r="H357" s="64">
        <f>E357/'Erkrankungs- und Strukturdaten'!$C$7</f>
        <v>3925.454545454545</v>
      </c>
      <c r="I357" s="64">
        <f t="shared" si="35"/>
        <v>495757</v>
      </c>
      <c r="J357" s="64">
        <f t="shared" si="42"/>
        <v>0</v>
      </c>
      <c r="K357" s="101">
        <f>IFERROR(IF(D357=_Datum,Prognoseparameter!$C$14,
IF(_WachstumsrateKURZ="Bundesweit",IF(D357&gt;_Datum,
         K356+AVERAGE(F353:F356)*(1+_WR)*(1-(K356-VLOOKUP('Erkrankungs- und Strukturdaten'!$C$45,$D:$M,$K$1,FALSE))/$B$16),
         K358-$B$23*F358),
IF(D357&gt;_Datum,K356+G357,IF(G358="",K358/(K358^(1/N357)),K358-G358)))),"")</f>
        <v>0</v>
      </c>
      <c r="L357" s="64">
        <f>I357/'Erkrankungs- und Strukturdaten'!$C$7</f>
        <v>901376.36363636353</v>
      </c>
      <c r="M357" s="65">
        <f t="shared" si="43"/>
        <v>4.3740047569074429E-3</v>
      </c>
      <c r="N357" s="163">
        <v>217</v>
      </c>
      <c r="O357" s="222">
        <f t="shared" si="44"/>
        <v>1</v>
      </c>
    </row>
    <row r="358" spans="4:15" x14ac:dyDescent="0.2">
      <c r="D358" s="86">
        <v>44212</v>
      </c>
      <c r="E358" s="64">
        <f t="shared" si="34"/>
        <v>1337</v>
      </c>
      <c r="F358" s="101">
        <v>1337</v>
      </c>
      <c r="G358" s="140"/>
      <c r="H358" s="64">
        <f>E358/'Erkrankungs- und Strukturdaten'!$C$7</f>
        <v>2430.9090909090905</v>
      </c>
      <c r="I358" s="64">
        <f t="shared" si="35"/>
        <v>497094</v>
      </c>
      <c r="J358" s="64">
        <f t="shared" si="42"/>
        <v>0</v>
      </c>
      <c r="K358" s="101">
        <f>IFERROR(IF(D358=_Datum,Prognoseparameter!$C$14,
IF(_WachstumsrateKURZ="Bundesweit",IF(D358&gt;_Datum,
         K357+AVERAGE(F354:F357)*(1+_WR)*(1-(K357-VLOOKUP('Erkrankungs- und Strukturdaten'!$C$45,$D:$M,$K$1,FALSE))/$B$16),
         K359-$B$23*F359),
IF(D358&gt;_Datum,K357+G358,IF(G359="",K359/(K359^(1/N358)),K359-G359)))),"")</f>
        <v>0</v>
      </c>
      <c r="L358" s="64">
        <f>I358/'Erkrankungs- und Strukturdaten'!$C$7</f>
        <v>903807.27272727271</v>
      </c>
      <c r="M358" s="65">
        <f t="shared" si="43"/>
        <v>2.6968857726668511E-3</v>
      </c>
      <c r="N358" s="163">
        <v>217</v>
      </c>
      <c r="O358" s="222">
        <f t="shared" si="44"/>
        <v>1</v>
      </c>
    </row>
    <row r="359" spans="4:15" x14ac:dyDescent="0.2">
      <c r="D359" s="86">
        <v>44213</v>
      </c>
      <c r="E359" s="64">
        <f t="shared" si="34"/>
        <v>893</v>
      </c>
      <c r="F359" s="101">
        <v>893</v>
      </c>
      <c r="G359" s="140"/>
      <c r="H359" s="64">
        <f>E359/'Erkrankungs- und Strukturdaten'!$C$7</f>
        <v>1623.6363636363635</v>
      </c>
      <c r="I359" s="64">
        <f t="shared" si="35"/>
        <v>497987</v>
      </c>
      <c r="J359" s="64">
        <f t="shared" si="42"/>
        <v>0</v>
      </c>
      <c r="K359" s="101">
        <f>IFERROR(IF(D359=_Datum,Prognoseparameter!$C$14,
IF(_WachstumsrateKURZ="Bundesweit",IF(D359&gt;_Datum,
         K358+AVERAGE(F355:F358)*(1+_WR)*(1-(K358-VLOOKUP('Erkrankungs- und Strukturdaten'!$C$45,$D:$M,$K$1,FALSE))/$B$16),
         K360-$B$23*F360),
IF(D359&gt;_Datum,K358+G359,IF(G360="",K360/(K360^(1/N359)),K360-G360)))),"")</f>
        <v>0</v>
      </c>
      <c r="L359" s="64">
        <f>I359/'Erkrankungs- und Strukturdaten'!$C$7</f>
        <v>905430.90909090906</v>
      </c>
      <c r="M359" s="65">
        <f t="shared" si="43"/>
        <v>1.7964409145956298E-3</v>
      </c>
      <c r="N359" s="163">
        <v>217</v>
      </c>
      <c r="O359" s="222">
        <f t="shared" si="44"/>
        <v>1</v>
      </c>
    </row>
    <row r="360" spans="4:15" x14ac:dyDescent="0.2">
      <c r="D360" s="86">
        <v>44214</v>
      </c>
      <c r="E360" s="64">
        <f t="shared" si="34"/>
        <v>2945</v>
      </c>
      <c r="F360" s="101">
        <v>2945</v>
      </c>
      <c r="G360" s="140"/>
      <c r="H360" s="64">
        <f>E360/'Erkrankungs- und Strukturdaten'!$C$7</f>
        <v>5354.545454545454</v>
      </c>
      <c r="I360" s="64">
        <f t="shared" si="35"/>
        <v>500932</v>
      </c>
      <c r="J360" s="64">
        <f t="shared" si="42"/>
        <v>0</v>
      </c>
      <c r="K360" s="101">
        <f>IFERROR(IF(D360=_Datum,Prognoseparameter!$C$14,
IF(_WachstumsrateKURZ="Bundesweit",IF(D360&gt;_Datum,
         K359+AVERAGE(F356:F359)*(1+_WR)*(1-(K359-VLOOKUP('Erkrankungs- und Strukturdaten'!$C$45,$D:$M,$K$1,FALSE))/$B$16),
         K361-$B$23*F361),
IF(D360&gt;_Datum,K359+G360,IF(G361="",K361/(K361^(1/N360)),K361-G361)))),"")</f>
        <v>0</v>
      </c>
      <c r="L360" s="64">
        <f>I360/'Erkrankungs- und Strukturdaten'!$C$7</f>
        <v>910785.45454545447</v>
      </c>
      <c r="M360" s="65">
        <f t="shared" si="43"/>
        <v>5.9138089950139259E-3</v>
      </c>
      <c r="N360" s="163">
        <v>217</v>
      </c>
      <c r="O360" s="222">
        <f t="shared" si="44"/>
        <v>1</v>
      </c>
    </row>
    <row r="361" spans="4:15" x14ac:dyDescent="0.2">
      <c r="D361" s="86">
        <v>44215</v>
      </c>
      <c r="E361" s="64">
        <f t="shared" si="34"/>
        <v>2330</v>
      </c>
      <c r="F361" s="101">
        <v>2330</v>
      </c>
      <c r="G361" s="140"/>
      <c r="H361" s="64">
        <f>E361/'Erkrankungs- und Strukturdaten'!$C$7</f>
        <v>4236.363636363636</v>
      </c>
      <c r="I361" s="64">
        <f t="shared" si="35"/>
        <v>503262</v>
      </c>
      <c r="J361" s="64">
        <f t="shared" si="42"/>
        <v>0</v>
      </c>
      <c r="K361" s="101">
        <f>IFERROR(IF(D361=_Datum,Prognoseparameter!$C$14,
IF(_WachstumsrateKURZ="Bundesweit",IF(D361&gt;_Datum,
         K360+AVERAGE(F357:F360)*(1+_WR)*(1-(K360-VLOOKUP('Erkrankungs- und Strukturdaten'!$C$45,$D:$M,$K$1,FALSE))/$B$16),
         K362-$B$23*F362),
IF(D361&gt;_Datum,K360+G361,IF(G362="",K362/(K362^(1/N361)),K362-G362)))),"")</f>
        <v>0</v>
      </c>
      <c r="L361" s="64">
        <f>I361/'Erkrankungs- und Strukturdaten'!$C$7</f>
        <v>915021.81818181812</v>
      </c>
      <c r="M361" s="65">
        <f t="shared" si="43"/>
        <v>4.6513299210272051E-3</v>
      </c>
      <c r="N361" s="163">
        <v>217</v>
      </c>
      <c r="O361" s="222">
        <f t="shared" si="44"/>
        <v>1</v>
      </c>
    </row>
    <row r="362" spans="4:15" x14ac:dyDescent="0.2">
      <c r="D362" s="86">
        <v>44216</v>
      </c>
      <c r="E362" s="64">
        <f t="shared" si="34"/>
        <v>2278</v>
      </c>
      <c r="F362" s="101">
        <v>2278</v>
      </c>
      <c r="G362" s="140"/>
      <c r="H362" s="64">
        <f>E362/'Erkrankungs- und Strukturdaten'!$C$7</f>
        <v>4141.8181818181811</v>
      </c>
      <c r="I362" s="64">
        <f t="shared" si="35"/>
        <v>505540</v>
      </c>
      <c r="J362" s="64">
        <f t="shared" si="42"/>
        <v>0</v>
      </c>
      <c r="K362" s="101">
        <f>IFERROR(IF(D362=_Datum,Prognoseparameter!$C$14,
IF(_WachstumsrateKURZ="Bundesweit",IF(D362&gt;_Datum,
         K361+AVERAGE(F358:F361)*(1+_WR)*(1-(K361-VLOOKUP('Erkrankungs- und Strukturdaten'!$C$45,$D:$M,$K$1,FALSE))/$B$16),
         K363-$B$23*F363),
IF(D362&gt;_Datum,K361+G362,IF(G363="",K363/(K363^(1/N362)),K363-G363)))),"")</f>
        <v>0</v>
      </c>
      <c r="L362" s="64">
        <f>I362/'Erkrankungs- und Strukturdaten'!$C$7</f>
        <v>919163.63636363624</v>
      </c>
      <c r="M362" s="65">
        <f t="shared" si="43"/>
        <v>4.5264693141941967E-3</v>
      </c>
      <c r="N362" s="163">
        <v>217</v>
      </c>
      <c r="O362" s="222">
        <f t="shared" si="44"/>
        <v>1</v>
      </c>
    </row>
    <row r="363" spans="4:15" x14ac:dyDescent="0.2">
      <c r="D363" s="86">
        <v>44217</v>
      </c>
      <c r="E363" s="64">
        <f t="shared" si="34"/>
        <v>2056</v>
      </c>
      <c r="F363" s="101">
        <v>2056</v>
      </c>
      <c r="G363" s="140"/>
      <c r="H363" s="64">
        <f>E363/'Erkrankungs- und Strukturdaten'!$C$7</f>
        <v>3738.181818181818</v>
      </c>
      <c r="I363" s="64">
        <f t="shared" si="35"/>
        <v>507596</v>
      </c>
      <c r="J363" s="64">
        <f t="shared" si="42"/>
        <v>0</v>
      </c>
      <c r="K363" s="101">
        <f>IFERROR(IF(D363=_Datum,Prognoseparameter!$C$14,
IF(_WachstumsrateKURZ="Bundesweit",IF(D363&gt;_Datum,
         K362+AVERAGE(F359:F362)*(1+_WR)*(1-(K362-VLOOKUP('Erkrankungs- und Strukturdaten'!$C$45,$D:$M,$K$1,FALSE))/$B$16),
         K364-$B$23*F364),
IF(D363&gt;_Datum,K362+G363,IF(G364="",K364/(K364^(1/N363)),K364-G364)))),"")</f>
        <v>0</v>
      </c>
      <c r="L363" s="64">
        <f>I363/'Erkrankungs- und Strukturdaten'!$C$7</f>
        <v>922901.81818181812</v>
      </c>
      <c r="M363" s="65">
        <f t="shared" si="43"/>
        <v>4.0669383233769832E-3</v>
      </c>
      <c r="N363" s="163">
        <v>217</v>
      </c>
      <c r="O363" s="222">
        <f t="shared" si="44"/>
        <v>1</v>
      </c>
    </row>
    <row r="364" spans="4:15" x14ac:dyDescent="0.2">
      <c r="D364" s="86">
        <v>44218</v>
      </c>
      <c r="E364" s="64">
        <f t="shared" si="34"/>
        <v>2036</v>
      </c>
      <c r="F364" s="101">
        <v>2036</v>
      </c>
      <c r="G364" s="140"/>
      <c r="H364" s="64">
        <f>E364/'Erkrankungs- und Strukturdaten'!$C$7</f>
        <v>3701.8181818181815</v>
      </c>
      <c r="I364" s="64">
        <f t="shared" si="35"/>
        <v>509632</v>
      </c>
      <c r="J364" s="64">
        <f t="shared" si="42"/>
        <v>0</v>
      </c>
      <c r="K364" s="101">
        <f>IFERROR(IF(D364=_Datum,Prognoseparameter!$C$14,
IF(_WachstumsrateKURZ="Bundesweit",IF(D364&gt;_Datum,
         K363+AVERAGE(F360:F363)*(1+_WR)*(1-(K363-VLOOKUP('Erkrankungs- und Strukturdaten'!$C$45,$D:$M,$K$1,FALSE))/$B$16),
         K365-$B$23*F365),
IF(D364&gt;_Datum,K363+G364,IF(G365="",K365/(K365^(1/N364)),K365-G365)))),"")</f>
        <v>0</v>
      </c>
      <c r="L364" s="64">
        <f>I364/'Erkrankungs- und Strukturdaten'!$C$7</f>
        <v>926603.63636363624</v>
      </c>
      <c r="M364" s="65">
        <f t="shared" si="43"/>
        <v>4.0110639169733406E-3</v>
      </c>
      <c r="N364" s="163">
        <v>217</v>
      </c>
      <c r="O364" s="222">
        <f t="shared" si="44"/>
        <v>1</v>
      </c>
    </row>
    <row r="365" spans="4:15" x14ac:dyDescent="0.2">
      <c r="D365" s="86">
        <v>44219</v>
      </c>
      <c r="E365" s="64">
        <f t="shared" si="34"/>
        <v>1098</v>
      </c>
      <c r="F365" s="101">
        <v>1098</v>
      </c>
      <c r="G365" s="140"/>
      <c r="H365" s="64">
        <f>E365/'Erkrankungs- und Strukturdaten'!$C$7</f>
        <v>1996.3636363636363</v>
      </c>
      <c r="I365" s="64">
        <f t="shared" si="35"/>
        <v>510730</v>
      </c>
      <c r="J365" s="64">
        <f t="shared" si="42"/>
        <v>0</v>
      </c>
      <c r="K365" s="101">
        <f>IFERROR(IF(D365=_Datum,Prognoseparameter!$C$14,
IF(_WachstumsrateKURZ="Bundesweit",IF(D365&gt;_Datum,
         K364+AVERAGE(F361:F364)*(1+_WR)*(1-(K364-VLOOKUP('Erkrankungs- und Strukturdaten'!$C$45,$D:$M,$K$1,FALSE))/$B$16),
         K366-$B$23*F366),
IF(D365&gt;_Datum,K364+G365,IF(G366="",K366/(K366^(1/N365)),K366-G366)))),"")</f>
        <v>0</v>
      </c>
      <c r="L365" s="64">
        <f>I365/'Erkrankungs- und Strukturdaten'!$C$7</f>
        <v>928599.99999999988</v>
      </c>
      <c r="M365" s="65">
        <f t="shared" si="43"/>
        <v>2.154495793042823E-3</v>
      </c>
      <c r="N365" s="163">
        <v>217</v>
      </c>
      <c r="O365" s="222">
        <f t="shared" si="44"/>
        <v>1</v>
      </c>
    </row>
    <row r="366" spans="4:15" x14ac:dyDescent="0.2">
      <c r="D366" s="86">
        <v>44220</v>
      </c>
      <c r="E366" s="64">
        <f t="shared" si="34"/>
        <v>732</v>
      </c>
      <c r="F366" s="101">
        <v>732</v>
      </c>
      <c r="G366" s="140"/>
      <c r="H366" s="64">
        <f>E366/'Erkrankungs- und Strukturdaten'!$C$7</f>
        <v>1330.9090909090908</v>
      </c>
      <c r="I366" s="64">
        <f t="shared" si="35"/>
        <v>511462</v>
      </c>
      <c r="J366" s="64">
        <f t="shared" si="42"/>
        <v>0</v>
      </c>
      <c r="K366" s="101">
        <f>IFERROR(IF(D366=_Datum,Prognoseparameter!$C$14,
IF(_WachstumsrateKURZ="Bundesweit",IF(D366&gt;_Datum,
         K365+AVERAGE(F362:F365)*(1+_WR)*(1-(K365-VLOOKUP('Erkrankungs- und Strukturdaten'!$C$45,$D:$M,$K$1,FALSE))/$B$16),
         K367-$B$23*F367),
IF(D366&gt;_Datum,K365+G366,IF(G367="",K367/(K367^(1/N366)),K367-G367)))),"")</f>
        <v>0</v>
      </c>
      <c r="L366" s="64">
        <f>I366/'Erkrankungs- und Strukturdaten'!$C$7</f>
        <v>929930.90909090906</v>
      </c>
      <c r="M366" s="65">
        <f t="shared" si="43"/>
        <v>1.4332426135139898E-3</v>
      </c>
      <c r="N366" s="163">
        <v>217</v>
      </c>
      <c r="O366" s="222">
        <f t="shared" si="44"/>
        <v>1</v>
      </c>
    </row>
    <row r="367" spans="4:15" x14ac:dyDescent="0.2">
      <c r="D367" s="86">
        <v>44221</v>
      </c>
      <c r="E367" s="64">
        <f t="shared" si="34"/>
        <v>2489</v>
      </c>
      <c r="F367" s="101">
        <v>2489</v>
      </c>
      <c r="G367" s="140"/>
      <c r="H367" s="64">
        <f>E367/'Erkrankungs- und Strukturdaten'!$C$7</f>
        <v>4525.454545454545</v>
      </c>
      <c r="I367" s="64">
        <f t="shared" si="35"/>
        <v>513951</v>
      </c>
      <c r="J367" s="64">
        <f t="shared" si="42"/>
        <v>0</v>
      </c>
      <c r="K367" s="101">
        <f>IFERROR(IF(D367=_Datum,Prognoseparameter!$C$14,
IF(_WachstumsrateKURZ="Bundesweit",IF(D367&gt;_Datum,
         K366+AVERAGE(F363:F366)*(1+_WR)*(1-(K366-VLOOKUP('Erkrankungs- und Strukturdaten'!$C$45,$D:$M,$K$1,FALSE))/$B$16),
         K368-$B$23*F368),
IF(D367&gt;_Datum,K366+G367,IF(G368="",K368/(K368^(1/N367)),K368-G368)))),"")</f>
        <v>0</v>
      </c>
      <c r="L367" s="64">
        <f>I367/'Erkrankungs- und Strukturdaten'!$C$7</f>
        <v>934456.36363636353</v>
      </c>
      <c r="M367" s="65">
        <f t="shared" si="43"/>
        <v>4.8664416906827879E-3</v>
      </c>
      <c r="N367" s="163">
        <v>217</v>
      </c>
      <c r="O367" s="222">
        <f t="shared" si="44"/>
        <v>1</v>
      </c>
    </row>
    <row r="368" spans="4:15" x14ac:dyDescent="0.2">
      <c r="D368" s="86">
        <v>44222</v>
      </c>
      <c r="E368" s="64">
        <f t="shared" si="34"/>
        <v>1838</v>
      </c>
      <c r="F368" s="101">
        <v>1838</v>
      </c>
      <c r="G368" s="140"/>
      <c r="H368" s="64">
        <f>E368/'Erkrankungs- und Strukturdaten'!$C$7</f>
        <v>3341.8181818181815</v>
      </c>
      <c r="I368" s="64">
        <f t="shared" si="35"/>
        <v>515789</v>
      </c>
      <c r="J368" s="64">
        <f t="shared" si="42"/>
        <v>0</v>
      </c>
      <c r="K368" s="101">
        <f>IFERROR(IF(D368=_Datum,Prognoseparameter!$C$14,
IF(_WachstumsrateKURZ="Bundesweit",IF(D368&gt;_Datum,
         K367+AVERAGE(F364:F367)*(1+_WR)*(1-(K367-VLOOKUP('Erkrankungs- und Strukturdaten'!$C$45,$D:$M,$K$1,FALSE))/$B$16),
         K369-$B$23*F369),
IF(D368&gt;_Datum,K367+G368,IF(G369="",K369/(K369^(1/N368)),K369-G369)))),"")</f>
        <v>0</v>
      </c>
      <c r="L368" s="64">
        <f>I368/'Erkrankungs- und Strukturdaten'!$C$7</f>
        <v>937798.18181818177</v>
      </c>
      <c r="M368" s="65">
        <f t="shared" si="43"/>
        <v>3.5762164097355585E-3</v>
      </c>
      <c r="N368" s="163">
        <v>217</v>
      </c>
      <c r="O368" s="222">
        <f t="shared" si="44"/>
        <v>1</v>
      </c>
    </row>
    <row r="369" spans="4:15" x14ac:dyDescent="0.2">
      <c r="D369" s="86">
        <v>44223</v>
      </c>
      <c r="E369" s="64">
        <f t="shared" si="34"/>
        <v>1869</v>
      </c>
      <c r="F369" s="101">
        <v>1869</v>
      </c>
      <c r="G369" s="140"/>
      <c r="H369" s="64">
        <f>E369/'Erkrankungs- und Strukturdaten'!$C$7</f>
        <v>3398.181818181818</v>
      </c>
      <c r="I369" s="64">
        <f t="shared" si="35"/>
        <v>517658</v>
      </c>
      <c r="J369" s="64">
        <f t="shared" si="42"/>
        <v>0</v>
      </c>
      <c r="K369" s="101">
        <f>IFERROR(IF(D369=_Datum,Prognoseparameter!$C$14,
IF(_WachstumsrateKURZ="Bundesweit",IF(D369&gt;_Datum,
         K368+AVERAGE(F365:F368)*(1+_WR)*(1-(K368-VLOOKUP('Erkrankungs- und Strukturdaten'!$C$45,$D:$M,$K$1,FALSE))/$B$16),
         K370-$B$23*F370),
IF(D369&gt;_Datum,K368+G369,IF(G370="",K370/(K370^(1/N369)),K370-G370)))),"")</f>
        <v>0</v>
      </c>
      <c r="L369" s="64">
        <f>I369/'Erkrankungs- und Strukturdaten'!$C$7</f>
        <v>941196.36363636353</v>
      </c>
      <c r="M369" s="65">
        <f t="shared" si="43"/>
        <v>3.623574756344164E-3</v>
      </c>
      <c r="N369" s="163">
        <v>217</v>
      </c>
      <c r="O369" s="222">
        <f t="shared" si="44"/>
        <v>1</v>
      </c>
    </row>
    <row r="370" spans="4:15" x14ac:dyDescent="0.2">
      <c r="D370" s="86">
        <v>44224</v>
      </c>
      <c r="E370" s="64">
        <f t="shared" si="34"/>
        <v>1780</v>
      </c>
      <c r="F370" s="101">
        <v>1780</v>
      </c>
      <c r="G370" s="140"/>
      <c r="H370" s="64">
        <f>E370/'Erkrankungs- und Strukturdaten'!$C$7</f>
        <v>3236.363636363636</v>
      </c>
      <c r="I370" s="64">
        <f t="shared" si="35"/>
        <v>519438</v>
      </c>
      <c r="J370" s="64">
        <f t="shared" si="42"/>
        <v>0</v>
      </c>
      <c r="K370" s="101">
        <f>IFERROR(IF(D370=_Datum,Prognoseparameter!$C$14,
IF(_WachstumsrateKURZ="Bundesweit",IF(D370&gt;_Datum,
         K369+AVERAGE(F366:F369)*(1+_WR)*(1-(K369-VLOOKUP('Erkrankungs- und Strukturdaten'!$C$45,$D:$M,$K$1,FALSE))/$B$16),
         K371-$B$23*F371),
IF(D370&gt;_Datum,K369+G370,IF(G371="",K371/(K371^(1/N370)),K371-G371)))),"")</f>
        <v>0</v>
      </c>
      <c r="L370" s="64">
        <f>I370/'Erkrankungs- und Strukturdaten'!$C$7</f>
        <v>944432.72727272718</v>
      </c>
      <c r="M370" s="65">
        <f t="shared" si="43"/>
        <v>3.4385636849039326E-3</v>
      </c>
      <c r="N370" s="163">
        <v>217</v>
      </c>
      <c r="O370" s="222">
        <f t="shared" si="44"/>
        <v>1</v>
      </c>
    </row>
    <row r="371" spans="4:15" x14ac:dyDescent="0.2">
      <c r="D371" s="86">
        <v>44225</v>
      </c>
      <c r="E371" s="64">
        <f t="shared" si="34"/>
        <v>1765</v>
      </c>
      <c r="F371" s="101">
        <v>1765</v>
      </c>
      <c r="G371" s="140"/>
      <c r="H371" s="64">
        <f>E371/'Erkrankungs- und Strukturdaten'!$C$7</f>
        <v>3209.090909090909</v>
      </c>
      <c r="I371" s="64">
        <f t="shared" si="35"/>
        <v>521203</v>
      </c>
      <c r="J371" s="64">
        <f t="shared" si="42"/>
        <v>0</v>
      </c>
      <c r="K371" s="101">
        <f>IFERROR(IF(D371=_Datum,Prognoseparameter!$C$14,
IF(_WachstumsrateKURZ="Bundesweit",IF(D371&gt;_Datum,
         K370+AVERAGE(F367:F370)*(1+_WR)*(1-(K370-VLOOKUP('Erkrankungs- und Strukturdaten'!$C$45,$D:$M,$K$1,FALSE))/$B$16),
         K372-$B$23*F372),
IF(D371&gt;_Datum,K370+G371,IF(G372="",K372/(K372^(1/N371)),K372-G372)))),"")</f>
        <v>0</v>
      </c>
      <c r="L371" s="64">
        <f>I371/'Erkrankungs- und Strukturdaten'!$C$7</f>
        <v>947641.81818181812</v>
      </c>
      <c r="M371" s="65">
        <f t="shared" si="43"/>
        <v>3.3979031183702388E-3</v>
      </c>
      <c r="N371" s="163">
        <v>217</v>
      </c>
      <c r="O371" s="222">
        <f t="shared" si="44"/>
        <v>1</v>
      </c>
    </row>
    <row r="372" spans="4:15" x14ac:dyDescent="0.2">
      <c r="D372" s="86">
        <v>44226</v>
      </c>
      <c r="E372" s="64">
        <f t="shared" si="34"/>
        <v>1019</v>
      </c>
      <c r="F372" s="101">
        <v>1019</v>
      </c>
      <c r="G372" s="140"/>
      <c r="H372" s="64">
        <f>E372/'Erkrankungs- und Strukturdaten'!$C$7</f>
        <v>1852.7272727272725</v>
      </c>
      <c r="I372" s="64">
        <f t="shared" si="35"/>
        <v>522222</v>
      </c>
      <c r="J372" s="64">
        <f t="shared" si="42"/>
        <v>0</v>
      </c>
      <c r="K372" s="101">
        <f>IFERROR(IF(D372=_Datum,Prognoseparameter!$C$14,
IF(_WachstumsrateKURZ="Bundesweit",IF(D372&gt;_Datum,
         K371+AVERAGE(F368:F371)*(1+_WR)*(1-(K371-VLOOKUP('Erkrankungs- und Strukturdaten'!$C$45,$D:$M,$K$1,FALSE))/$B$16),
         K373-$B$23*F373),
IF(D372&gt;_Datum,K371+G372,IF(G373="",K373/(K373^(1/N372)),K373-G373)))),"")</f>
        <v>0</v>
      </c>
      <c r="L372" s="64">
        <f>I372/'Erkrankungs- und Strukturdaten'!$C$7</f>
        <v>949494.54545454541</v>
      </c>
      <c r="M372" s="65">
        <f t="shared" si="43"/>
        <v>1.9550923536510727E-3</v>
      </c>
      <c r="N372" s="163">
        <v>217</v>
      </c>
      <c r="O372" s="222">
        <f t="shared" si="44"/>
        <v>1</v>
      </c>
    </row>
    <row r="373" spans="4:15" x14ac:dyDescent="0.2">
      <c r="D373" s="86">
        <v>44227</v>
      </c>
      <c r="E373" s="64">
        <f t="shared" si="34"/>
        <v>738</v>
      </c>
      <c r="F373" s="101">
        <v>738</v>
      </c>
      <c r="G373" s="140"/>
      <c r="H373" s="64">
        <f>E373/'Erkrankungs- und Strukturdaten'!$C$7</f>
        <v>1341.8181818181818</v>
      </c>
      <c r="I373" s="64">
        <f t="shared" si="35"/>
        <v>522960</v>
      </c>
      <c r="J373" s="64">
        <f t="shared" si="42"/>
        <v>0</v>
      </c>
      <c r="K373" s="101">
        <f>IFERROR(IF(D373=_Datum,Prognoseparameter!$C$14,
IF(_WachstumsrateKURZ="Bundesweit",IF(D373&gt;_Datum,
         K372+AVERAGE(F369:F372)*(1+_WR)*(1-(K372-VLOOKUP('Erkrankungs- und Strukturdaten'!$C$45,$D:$M,$K$1,FALSE))/$B$16),
         K374-$B$23*F374),
IF(D373&gt;_Datum,K372+G373,IF(G374="",K374/(K374^(1/N373)),K374-G374)))),"")</f>
        <v>0</v>
      </c>
      <c r="L373" s="64">
        <f>I373/'Erkrankungs- und Strukturdaten'!$C$7</f>
        <v>950836.36363636353</v>
      </c>
      <c r="M373" s="65">
        <f t="shared" si="43"/>
        <v>1.4131920907200386E-3</v>
      </c>
      <c r="N373" s="163">
        <v>217</v>
      </c>
      <c r="O373" s="222">
        <f t="shared" si="44"/>
        <v>1</v>
      </c>
    </row>
    <row r="374" spans="4:15" x14ac:dyDescent="0.2">
      <c r="D374" s="86">
        <v>44228</v>
      </c>
      <c r="E374" s="64">
        <f t="shared" si="34"/>
        <v>2162</v>
      </c>
      <c r="F374" s="101">
        <v>2162</v>
      </c>
      <c r="G374" s="140"/>
      <c r="H374" s="64">
        <f>E374/'Erkrankungs- und Strukturdaten'!$C$7</f>
        <v>3930.9090909090905</v>
      </c>
      <c r="I374" s="64">
        <f t="shared" si="35"/>
        <v>525122</v>
      </c>
      <c r="J374" s="64">
        <f t="shared" si="42"/>
        <v>0</v>
      </c>
      <c r="K374" s="101">
        <f>IFERROR(IF(D374=_Datum,Prognoseparameter!$C$14,
IF(_WachstumsrateKURZ="Bundesweit",IF(D374&gt;_Datum,
         K373+AVERAGE(F370:F373)*(1+_WR)*(1-(K373-VLOOKUP('Erkrankungs- und Strukturdaten'!$C$45,$D:$M,$K$1,FALSE))/$B$16),
         K375-$B$23*F375),
IF(D374&gt;_Datum,K373+G374,IF(G375="",K375/(K375^(1/N374)),K375-G375)))),"")</f>
        <v>0</v>
      </c>
      <c r="L374" s="64">
        <f>I374/'Erkrankungs- und Strukturdaten'!$C$7</f>
        <v>954767.27272727271</v>
      </c>
      <c r="M374" s="65">
        <f t="shared" si="43"/>
        <v>4.1341594003365461E-3</v>
      </c>
      <c r="N374" s="163">
        <v>217</v>
      </c>
      <c r="O374" s="222">
        <f t="shared" si="44"/>
        <v>1</v>
      </c>
    </row>
    <row r="375" spans="4:15" x14ac:dyDescent="0.2">
      <c r="D375" s="86">
        <v>44229</v>
      </c>
      <c r="E375" s="64">
        <f t="shared" si="34"/>
        <v>1650</v>
      </c>
      <c r="F375" s="101">
        <v>1650</v>
      </c>
      <c r="G375" s="140"/>
      <c r="H375" s="64">
        <f>E375/'Erkrankungs- und Strukturdaten'!$C$7</f>
        <v>2999.9999999999995</v>
      </c>
      <c r="I375" s="64">
        <f t="shared" si="35"/>
        <v>526772</v>
      </c>
      <c r="J375" s="64">
        <f t="shared" si="42"/>
        <v>0</v>
      </c>
      <c r="K375" s="101">
        <f>IFERROR(IF(D375=_Datum,Prognoseparameter!$C$14,
IF(_WachstumsrateKURZ="Bundesweit",IF(D375&gt;_Datum,
         K374+AVERAGE(F371:F374)*(1+_WR)*(1-(K374-VLOOKUP('Erkrankungs- und Strukturdaten'!$C$45,$D:$M,$K$1,FALSE))/$B$16),
         K376-$B$23*F376),
IF(D375&gt;_Datum,K374+G375,IF(G376="",K376/(K376^(1/N375)),K376-G376)))),"")</f>
        <v>0</v>
      </c>
      <c r="L375" s="64">
        <f>I375/'Erkrankungs- und Strukturdaten'!$C$7</f>
        <v>957767.27272727271</v>
      </c>
      <c r="M375" s="65">
        <f t="shared" si="43"/>
        <v>3.142126972398795E-3</v>
      </c>
      <c r="N375" s="163">
        <v>217</v>
      </c>
      <c r="O375" s="222">
        <f t="shared" si="44"/>
        <v>1</v>
      </c>
    </row>
    <row r="376" spans="4:15" x14ac:dyDescent="0.2">
      <c r="D376" s="86">
        <v>44230</v>
      </c>
      <c r="E376" s="64">
        <f t="shared" si="34"/>
        <v>1730</v>
      </c>
      <c r="F376" s="101">
        <v>1730</v>
      </c>
      <c r="G376" s="140"/>
      <c r="H376" s="64">
        <f>E376/'Erkrankungs- und Strukturdaten'!$C$7</f>
        <v>3145.454545454545</v>
      </c>
      <c r="I376" s="64">
        <f t="shared" si="35"/>
        <v>528502</v>
      </c>
      <c r="J376" s="64">
        <f t="shared" si="42"/>
        <v>0</v>
      </c>
      <c r="K376" s="101">
        <f>IFERROR(IF(D376=_Datum,Prognoseparameter!$C$14,
IF(_WachstumsrateKURZ="Bundesweit",IF(D376&gt;_Datum,
         K375+AVERAGE(F372:F375)*(1+_WR)*(1-(K375-VLOOKUP('Erkrankungs- und Strukturdaten'!$C$45,$D:$M,$K$1,FALSE))/$B$16),
         K377-$B$23*F377),
IF(D376&gt;_Datum,K375+G376,IF(G377="",K377/(K377^(1/N376)),K377-G377)))),"")</f>
        <v>0</v>
      </c>
      <c r="L376" s="64">
        <f>I376/'Erkrankungs- und Strukturdaten'!$C$7</f>
        <v>960912.72727272718</v>
      </c>
      <c r="M376" s="65">
        <f t="shared" si="43"/>
        <v>3.2841532959230939E-3</v>
      </c>
      <c r="N376" s="163">
        <v>217</v>
      </c>
      <c r="O376" s="222">
        <f t="shared" si="44"/>
        <v>1</v>
      </c>
    </row>
    <row r="377" spans="4:15" x14ac:dyDescent="0.2">
      <c r="D377" s="86">
        <v>44231</v>
      </c>
      <c r="E377" s="64">
        <f t="shared" si="34"/>
        <v>1443</v>
      </c>
      <c r="F377" s="101">
        <v>1443</v>
      </c>
      <c r="G377" s="140"/>
      <c r="H377" s="64">
        <f>E377/'Erkrankungs- und Strukturdaten'!$C$7</f>
        <v>2623.6363636363635</v>
      </c>
      <c r="I377" s="64">
        <f t="shared" si="35"/>
        <v>529945</v>
      </c>
      <c r="J377" s="64">
        <f t="shared" si="42"/>
        <v>0</v>
      </c>
      <c r="K377" s="101">
        <f>IFERROR(IF(D377=_Datum,Prognoseparameter!$C$14,
IF(_WachstumsrateKURZ="Bundesweit",IF(D377&gt;_Datum,
         K376+AVERAGE(F373:F376)*(1+_WR)*(1-(K376-VLOOKUP('Erkrankungs- und Strukturdaten'!$C$45,$D:$M,$K$1,FALSE))/$B$16),
         K378-$B$23*F378),
IF(D377&gt;_Datum,K376+G377,IF(G378="",K378/(K378^(1/N377)),K378-G378)))),"")</f>
        <v>0</v>
      </c>
      <c r="L377" s="64">
        <f>I377/'Erkrankungs- und Strukturdaten'!$C$7</f>
        <v>963536.36363636353</v>
      </c>
      <c r="M377" s="65">
        <f t="shared" si="43"/>
        <v>2.7303586362965515E-3</v>
      </c>
      <c r="N377" s="163">
        <v>217</v>
      </c>
      <c r="O377" s="222">
        <f t="shared" si="44"/>
        <v>1</v>
      </c>
    </row>
    <row r="378" spans="4:15" x14ac:dyDescent="0.2">
      <c r="D378" s="86">
        <v>44232</v>
      </c>
      <c r="E378" s="64">
        <f t="shared" si="34"/>
        <v>1506</v>
      </c>
      <c r="F378" s="101">
        <v>1506</v>
      </c>
      <c r="G378" s="140"/>
      <c r="H378" s="64">
        <f>E378/'Erkrankungs- und Strukturdaten'!$C$7</f>
        <v>2738.181818181818</v>
      </c>
      <c r="I378" s="64">
        <f t="shared" si="35"/>
        <v>531451</v>
      </c>
      <c r="J378" s="64">
        <f t="shared" si="42"/>
        <v>0</v>
      </c>
      <c r="K378" s="101">
        <f>IFERROR(IF(D378=_Datum,Prognoseparameter!$C$14,
IF(_WachstumsrateKURZ="Bundesweit",IF(D378&gt;_Datum,
         K377+AVERAGE(F374:F377)*(1+_WR)*(1-(K377-VLOOKUP('Erkrankungs- und Strukturdaten'!$C$45,$D:$M,$K$1,FALSE))/$B$16),
         K379-$B$23*F379),
IF(D378&gt;_Datum,K377+G378,IF(G379="",K379/(K379^(1/N378)),K379-G379)))),"")</f>
        <v>0</v>
      </c>
      <c r="L378" s="64">
        <f>I378/'Erkrankungs- und Strukturdaten'!$C$7</f>
        <v>966274.54545454541</v>
      </c>
      <c r="M378" s="65">
        <f t="shared" si="43"/>
        <v>2.8418043381860381E-3</v>
      </c>
      <c r="N378" s="163">
        <v>217</v>
      </c>
      <c r="O378" s="222">
        <f t="shared" si="44"/>
        <v>1</v>
      </c>
    </row>
    <row r="379" spans="4:15" x14ac:dyDescent="0.2">
      <c r="D379" s="86">
        <v>44233</v>
      </c>
      <c r="E379" s="64">
        <f t="shared" si="34"/>
        <v>887</v>
      </c>
      <c r="F379" s="101">
        <v>887</v>
      </c>
      <c r="G379" s="140"/>
      <c r="H379" s="64">
        <f>E379/'Erkrankungs- und Strukturdaten'!$C$7</f>
        <v>1612.7272727272725</v>
      </c>
      <c r="I379" s="64">
        <f t="shared" si="35"/>
        <v>532338</v>
      </c>
      <c r="J379" s="64">
        <f t="shared" si="42"/>
        <v>0</v>
      </c>
      <c r="K379" s="101">
        <f>IFERROR(IF(D379=_Datum,Prognoseparameter!$C$14,
IF(_WachstumsrateKURZ="Bundesweit",IF(D379&gt;_Datum,
         K378+AVERAGE(F375:F378)*(1+_WR)*(1-(K378-VLOOKUP('Erkrankungs- und Strukturdaten'!$C$45,$D:$M,$K$1,FALSE))/$B$16),
         K380-$B$23*F380),
IF(D379&gt;_Datum,K378+G379,IF(G380="",K380/(K380^(1/N379)),K380-G380)))),"")</f>
        <v>0</v>
      </c>
      <c r="L379" s="64">
        <f>I379/'Erkrankungs- und Strukturdaten'!$C$7</f>
        <v>967887.27272727271</v>
      </c>
      <c r="M379" s="65">
        <f t="shared" si="43"/>
        <v>1.6690155818692598E-3</v>
      </c>
      <c r="N379" s="163">
        <v>217</v>
      </c>
      <c r="O379" s="222">
        <f t="shared" si="44"/>
        <v>1</v>
      </c>
    </row>
    <row r="380" spans="4:15" x14ac:dyDescent="0.2">
      <c r="D380" s="86">
        <v>44234</v>
      </c>
      <c r="E380" s="64">
        <f t="shared" si="34"/>
        <v>673</v>
      </c>
      <c r="F380" s="101">
        <v>673</v>
      </c>
      <c r="G380" s="140"/>
      <c r="H380" s="64">
        <f>E380/'Erkrankungs- und Strukturdaten'!$C$7</f>
        <v>1223.6363636363635</v>
      </c>
      <c r="I380" s="64">
        <f t="shared" si="35"/>
        <v>533011</v>
      </c>
      <c r="J380" s="64">
        <f t="shared" si="42"/>
        <v>0</v>
      </c>
      <c r="K380" s="101">
        <f>IFERROR(IF(D380=_Datum,Prognoseparameter!$C$14,
IF(_WachstumsrateKURZ="Bundesweit",IF(D380&gt;_Datum,
         K379+AVERAGE(F376:F379)*(1+_WR)*(1-(K379-VLOOKUP('Erkrankungs- und Strukturdaten'!$C$45,$D:$M,$K$1,FALSE))/$B$16),
         K381-$B$23*F381),
IF(D380&gt;_Datum,K379+G380,IF(G381="",K381/(K381^(1/N380)),K381-G381)))),"")</f>
        <v>0</v>
      </c>
      <c r="L380" s="64">
        <f>I380/'Erkrankungs- und Strukturdaten'!$C$7</f>
        <v>969110.90909090906</v>
      </c>
      <c r="M380" s="65">
        <f t="shared" si="43"/>
        <v>1.2642343774068355E-3</v>
      </c>
      <c r="N380" s="163">
        <v>217</v>
      </c>
      <c r="O380" s="222">
        <f t="shared" si="44"/>
        <v>1</v>
      </c>
    </row>
    <row r="381" spans="4:15" x14ac:dyDescent="0.2">
      <c r="D381" s="86">
        <v>44235</v>
      </c>
      <c r="E381" s="64">
        <f t="shared" si="34"/>
        <v>1748</v>
      </c>
      <c r="F381" s="101">
        <v>1748</v>
      </c>
      <c r="G381" s="140"/>
      <c r="H381" s="64">
        <f>E381/'Erkrankungs- und Strukturdaten'!$C$7</f>
        <v>3178.181818181818</v>
      </c>
      <c r="I381" s="64">
        <f t="shared" si="35"/>
        <v>534759</v>
      </c>
      <c r="J381" s="64">
        <f t="shared" si="42"/>
        <v>0</v>
      </c>
      <c r="K381" s="101">
        <f>IFERROR(IF(D381=_Datum,Prognoseparameter!$C$14,
IF(_WachstumsrateKURZ="Bundesweit",IF(D381&gt;_Datum,
         K380+AVERAGE(F377:F380)*(1+_WR)*(1-(K380-VLOOKUP('Erkrankungs- und Strukturdaten'!$C$45,$D:$M,$K$1,FALSE))/$B$16),
         K382-$B$23*F382),
IF(D381&gt;_Datum,K380+G381,IF(G382="",K382/(K382^(1/N381)),K382-G382)))),"")</f>
        <v>0</v>
      </c>
      <c r="L381" s="64">
        <f>I381/'Erkrankungs- und Strukturdaten'!$C$7</f>
        <v>972289.09090909082</v>
      </c>
      <c r="M381" s="65">
        <f t="shared" si="43"/>
        <v>3.2794820369560851E-3</v>
      </c>
      <c r="N381" s="163">
        <v>217</v>
      </c>
      <c r="O381" s="222">
        <f t="shared" si="44"/>
        <v>1</v>
      </c>
    </row>
    <row r="382" spans="4:15" x14ac:dyDescent="0.2">
      <c r="D382" s="86">
        <v>44236</v>
      </c>
      <c r="E382" s="64">
        <f t="shared" si="34"/>
        <v>1348</v>
      </c>
      <c r="F382" s="101">
        <v>1348</v>
      </c>
      <c r="G382" s="140"/>
      <c r="H382" s="64">
        <f>E382/'Erkrankungs- und Strukturdaten'!$C$7</f>
        <v>2450.9090909090905</v>
      </c>
      <c r="I382" s="64">
        <f t="shared" si="35"/>
        <v>536107</v>
      </c>
      <c r="J382" s="64">
        <f t="shared" si="42"/>
        <v>0</v>
      </c>
      <c r="K382" s="101">
        <f>IFERROR(IF(D382=_Datum,Prognoseparameter!$C$14,
IF(_WachstumsrateKURZ="Bundesweit",IF(D382&gt;_Datum,
         K381+AVERAGE(F378:F381)*(1+_WR)*(1-(K381-VLOOKUP('Erkrankungs- und Strukturdaten'!$C$45,$D:$M,$K$1,FALSE))/$B$16),
         K383-$B$23*F383),
IF(D382&gt;_Datum,K381+G382,IF(G383="",K383/(K383^(1/N382)),K383-G383)))),"")</f>
        <v>0</v>
      </c>
      <c r="L382" s="64">
        <f>I382/'Erkrankungs- und Strukturdaten'!$C$7</f>
        <v>974739.99999999988</v>
      </c>
      <c r="M382" s="65">
        <f t="shared" si="43"/>
        <v>2.5207616889103314E-3</v>
      </c>
      <c r="N382" s="163">
        <v>217</v>
      </c>
      <c r="O382" s="222">
        <f t="shared" si="44"/>
        <v>1</v>
      </c>
    </row>
    <row r="383" spans="4:15" x14ac:dyDescent="0.2">
      <c r="D383" s="86">
        <v>44237</v>
      </c>
      <c r="E383" s="64">
        <f t="shared" si="34"/>
        <v>1258</v>
      </c>
      <c r="F383" s="101">
        <v>1258</v>
      </c>
      <c r="G383" s="140"/>
      <c r="H383" s="64">
        <f>E383/'Erkrankungs- und Strukturdaten'!$C$7</f>
        <v>2287.272727272727</v>
      </c>
      <c r="I383" s="64">
        <f t="shared" si="35"/>
        <v>537365</v>
      </c>
      <c r="J383" s="64">
        <f t="shared" si="42"/>
        <v>0</v>
      </c>
      <c r="K383" s="101">
        <f>IFERROR(IF(D383=_Datum,Prognoseparameter!$C$14,
IF(_WachstumsrateKURZ="Bundesweit",IF(D383&gt;_Datum,
         K382+AVERAGE(F379:F382)*(1+_WR)*(1-(K382-VLOOKUP('Erkrankungs- und Strukturdaten'!$C$45,$D:$M,$K$1,FALSE))/$B$16),
         K384-$B$23*F384),
IF(D383&gt;_Datum,K382+G383,IF(G384="",K384/(K384^(1/N383)),K384-G384)))),"")</f>
        <v>0</v>
      </c>
      <c r="L383" s="64">
        <f>I383/'Erkrankungs- und Strukturdaten'!$C$7</f>
        <v>977027.27272727271</v>
      </c>
      <c r="M383" s="65">
        <f t="shared" si="43"/>
        <v>2.346546491651853E-3</v>
      </c>
      <c r="N383" s="163">
        <v>217</v>
      </c>
      <c r="O383" s="222">
        <f t="shared" si="44"/>
        <v>1</v>
      </c>
    </row>
    <row r="384" spans="4:15" x14ac:dyDescent="0.2">
      <c r="D384" s="86">
        <v>44238</v>
      </c>
      <c r="E384" s="64">
        <f t="shared" si="34"/>
        <v>1172</v>
      </c>
      <c r="F384" s="101">
        <v>1172</v>
      </c>
      <c r="G384" s="140"/>
      <c r="H384" s="64">
        <f>E384/'Erkrankungs- und Strukturdaten'!$C$7</f>
        <v>2130.9090909090905</v>
      </c>
      <c r="I384" s="64">
        <f t="shared" si="35"/>
        <v>538537</v>
      </c>
      <c r="J384" s="64">
        <f t="shared" si="42"/>
        <v>0</v>
      </c>
      <c r="K384" s="101">
        <f>IFERROR(IF(D384=_Datum,Prognoseparameter!$C$14,
IF(_WachstumsrateKURZ="Bundesweit",IF(D384&gt;_Datum,
         K383+AVERAGE(F380:F383)*(1+_WR)*(1-(K383-VLOOKUP('Erkrankungs- und Strukturdaten'!$C$45,$D:$M,$K$1,FALSE))/$B$16),
         K385-$B$23*F385),
IF(D384&gt;_Datum,K383+G384,IF(G385="",K385/(K385^(1/N384)),K385-G385)))),"")</f>
        <v>0</v>
      </c>
      <c r="L384" s="64">
        <f>I384/'Erkrankungs- und Strukturdaten'!$C$7</f>
        <v>979158.18181818177</v>
      </c>
      <c r="M384" s="65">
        <f t="shared" si="43"/>
        <v>2.1810129055669794E-3</v>
      </c>
      <c r="N384" s="163">
        <v>217</v>
      </c>
      <c r="O384" s="222">
        <f t="shared" si="44"/>
        <v>1</v>
      </c>
    </row>
    <row r="385" spans="4:15" x14ac:dyDescent="0.2">
      <c r="D385" s="86">
        <v>44239</v>
      </c>
      <c r="E385" s="64">
        <f t="shared" si="34"/>
        <v>1131</v>
      </c>
      <c r="F385" s="101">
        <v>1131</v>
      </c>
      <c r="G385" s="140"/>
      <c r="H385" s="64">
        <f>E385/'Erkrankungs- und Strukturdaten'!$C$7</f>
        <v>2056.363636363636</v>
      </c>
      <c r="I385" s="64">
        <f t="shared" si="35"/>
        <v>539668</v>
      </c>
      <c r="J385" s="64">
        <f t="shared" si="42"/>
        <v>0</v>
      </c>
      <c r="K385" s="101">
        <f>IFERROR(IF(D385=_Datum,Prognoseparameter!$C$14,
IF(_WachstumsrateKURZ="Bundesweit",IF(D385&gt;_Datum,
         K384+AVERAGE(F381:F384)*(1+_WR)*(1-(K384-VLOOKUP('Erkrankungs- und Strukturdaten'!$C$45,$D:$M,$K$1,FALSE))/$B$16),
         K386-$B$23*F386),
IF(D385&gt;_Datum,K384+G385,IF(G386="",K386/(K386^(1/N385)),K386-G386)))),"")</f>
        <v>0</v>
      </c>
      <c r="L385" s="64">
        <f>I385/'Erkrankungs- und Strukturdaten'!$C$7</f>
        <v>981214.54545454541</v>
      </c>
      <c r="M385" s="65">
        <f t="shared" si="43"/>
        <v>2.1001342526140265E-3</v>
      </c>
      <c r="N385" s="163">
        <v>217</v>
      </c>
      <c r="O385" s="222">
        <f t="shared" si="44"/>
        <v>1</v>
      </c>
    </row>
    <row r="386" spans="4:15" x14ac:dyDescent="0.2">
      <c r="D386" s="86">
        <v>44240</v>
      </c>
      <c r="E386" s="64">
        <f t="shared" si="34"/>
        <v>718</v>
      </c>
      <c r="F386" s="101">
        <v>718</v>
      </c>
      <c r="G386" s="140"/>
      <c r="H386" s="64">
        <f>E386/'Erkrankungs- und Strukturdaten'!$C$7</f>
        <v>1305.4545454545453</v>
      </c>
      <c r="I386" s="64">
        <f t="shared" si="35"/>
        <v>540386</v>
      </c>
      <c r="J386" s="64">
        <f t="shared" si="42"/>
        <v>0</v>
      </c>
      <c r="K386" s="101">
        <f>IFERROR(IF(D386=_Datum,Prognoseparameter!$C$14,
IF(_WachstumsrateKURZ="Bundesweit",IF(D386&gt;_Datum,
         K385+AVERAGE(F382:F385)*(1+_WR)*(1-(K385-VLOOKUP('Erkrankungs- und Strukturdaten'!$C$45,$D:$M,$K$1,FALSE))/$B$16),
         K387-$B$23*F387),
IF(D386&gt;_Datum,K385+G386,IF(G387="",K387/(K387^(1/N386)),K387-G387)))),"")</f>
        <v>0</v>
      </c>
      <c r="L386" s="64">
        <f>I386/'Erkrankungs- und Strukturdaten'!$C$7</f>
        <v>982519.99999999988</v>
      </c>
      <c r="M386" s="65">
        <f t="shared" si="43"/>
        <v>1.3304476085296887E-3</v>
      </c>
      <c r="N386" s="163">
        <v>217</v>
      </c>
      <c r="O386" s="222">
        <f t="shared" si="44"/>
        <v>1</v>
      </c>
    </row>
    <row r="387" spans="4:15" x14ac:dyDescent="0.2">
      <c r="D387" s="86">
        <v>44241</v>
      </c>
      <c r="E387" s="64">
        <f t="shared" si="34"/>
        <v>483</v>
      </c>
      <c r="F387" s="101">
        <v>483</v>
      </c>
      <c r="G387" s="140"/>
      <c r="H387" s="64">
        <f>E387/'Erkrankungs- und Strukturdaten'!$C$7</f>
        <v>878.18181818181813</v>
      </c>
      <c r="I387" s="64">
        <f t="shared" si="35"/>
        <v>540869</v>
      </c>
      <c r="J387" s="64">
        <f t="shared" si="42"/>
        <v>0</v>
      </c>
      <c r="K387" s="101">
        <f>IFERROR(IF(D387=_Datum,Prognoseparameter!$C$14,
IF(_WachstumsrateKURZ="Bundesweit",IF(D387&gt;_Datum,
         K386+AVERAGE(F383:F386)*(1+_WR)*(1-(K386-VLOOKUP('Erkrankungs- und Strukturdaten'!$C$45,$D:$M,$K$1,FALSE))/$B$16),
         K388-$B$23*F388),
IF(D387&gt;_Datum,K386+G387,IF(G388="",K388/(K388^(1/N387)),K388-G388)))),"")</f>
        <v>0</v>
      </c>
      <c r="L387" s="64">
        <f>I387/'Erkrankungs- und Strukturdaten'!$C$7</f>
        <v>983398.18181818177</v>
      </c>
      <c r="M387" s="65">
        <f t="shared" si="43"/>
        <v>8.938055390036011E-4</v>
      </c>
      <c r="N387" s="163">
        <v>217</v>
      </c>
      <c r="O387" s="222">
        <f t="shared" si="44"/>
        <v>1</v>
      </c>
    </row>
    <row r="388" spans="4:15" x14ac:dyDescent="0.2">
      <c r="D388" s="86">
        <v>44242</v>
      </c>
      <c r="E388" s="64">
        <f t="shared" ref="E388:E451" si="45">IF(_AusgangswertKURZ="Bevölkerungsanteil",
$B$26*IF(F388=ROUNDDOWN(F388,0),F388,F388*VLOOKUP(WEEKDAY($D388,1),$A$51:$B$57,$B$1,FALSE)),
$B$17*IF(G388=ROUNDDOWN(G388,0),G388,G388*VLOOKUP(WEEKDAY($D388,1),$A$51:$B$57,$B$1,FALSE)))</f>
        <v>1305</v>
      </c>
      <c r="F388" s="101">
        <v>1305</v>
      </c>
      <c r="G388" s="140"/>
      <c r="H388" s="64">
        <f>E388/'Erkrankungs- und Strukturdaten'!$C$7</f>
        <v>2372.7272727272725</v>
      </c>
      <c r="I388" s="64">
        <f t="shared" si="35"/>
        <v>542174</v>
      </c>
      <c r="J388" s="64">
        <f t="shared" si="42"/>
        <v>0</v>
      </c>
      <c r="K388" s="101">
        <f>IFERROR(IF(D388=_Datum,Prognoseparameter!$C$14,
IF(_WachstumsrateKURZ="Bundesweit",IF(D388&gt;_Datum,
         K387+AVERAGE(F384:F387)*(1+_WR)*(1-(K387-VLOOKUP('Erkrankungs- und Strukturdaten'!$C$45,$D:$M,$K$1,FALSE))/$B$16),
         K389-$B$23*F389),
IF(D388&gt;_Datum,K387+G388,IF(G389="",K389/(K389^(1/N388)),K389-G389)))),"")</f>
        <v>0</v>
      </c>
      <c r="L388" s="64">
        <f>I388/'Erkrankungs- und Strukturdaten'!$C$7</f>
        <v>985770.90909090906</v>
      </c>
      <c r="M388" s="65">
        <f t="shared" si="43"/>
        <v>2.412783871880252E-3</v>
      </c>
      <c r="N388" s="163">
        <v>217</v>
      </c>
      <c r="O388" s="222">
        <f t="shared" si="44"/>
        <v>1</v>
      </c>
    </row>
    <row r="389" spans="4:15" x14ac:dyDescent="0.2">
      <c r="D389" s="86">
        <v>44243</v>
      </c>
      <c r="E389" s="64">
        <f t="shared" si="45"/>
        <v>1139</v>
      </c>
      <c r="F389" s="101">
        <v>1139</v>
      </c>
      <c r="G389" s="140"/>
      <c r="H389" s="64">
        <f>E389/'Erkrankungs- und Strukturdaten'!$C$7</f>
        <v>2070.9090909090905</v>
      </c>
      <c r="I389" s="64">
        <f t="shared" si="35"/>
        <v>543313</v>
      </c>
      <c r="J389" s="64">
        <f t="shared" si="42"/>
        <v>0</v>
      </c>
      <c r="K389" s="101">
        <f>IFERROR(IF(D389=_Datum,Prognoseparameter!$C$14,
IF(_WachstumsrateKURZ="Bundesweit",IF(D389&gt;_Datum,
         K388+AVERAGE(F385:F388)*(1+_WR)*(1-(K388-VLOOKUP('Erkrankungs- und Strukturdaten'!$C$45,$D:$M,$K$1,FALSE))/$B$16),
         K390-$B$23*F390),
IF(D389&gt;_Datum,K388+G389,IF(G390="",K390/(K390^(1/N389)),K390-G390)))),"")</f>
        <v>0</v>
      </c>
      <c r="L389" s="64">
        <f>I389/'Erkrankungs- und Strukturdaten'!$C$7</f>
        <v>987841.81818181812</v>
      </c>
      <c r="M389" s="65">
        <f t="shared" si="43"/>
        <v>2.1008015876821831E-3</v>
      </c>
      <c r="N389" s="163">
        <v>217</v>
      </c>
      <c r="O389" s="222">
        <f t="shared" si="44"/>
        <v>1</v>
      </c>
    </row>
    <row r="390" spans="4:15" x14ac:dyDescent="0.2">
      <c r="D390" s="86">
        <v>44244</v>
      </c>
      <c r="E390" s="64">
        <f t="shared" si="45"/>
        <v>1216</v>
      </c>
      <c r="F390" s="101">
        <v>1216</v>
      </c>
      <c r="G390" s="140"/>
      <c r="H390" s="64">
        <f>E390/'Erkrankungs- und Strukturdaten'!$C$7</f>
        <v>2210.9090909090905</v>
      </c>
      <c r="I390" s="64">
        <f t="shared" ref="I390:I453" si="46">I389+F390</f>
        <v>544529</v>
      </c>
      <c r="J390" s="64">
        <f t="shared" si="42"/>
        <v>0</v>
      </c>
      <c r="K390" s="101">
        <f>IFERROR(IF(D390=_Datum,Prognoseparameter!$C$14,
IF(_WachstumsrateKURZ="Bundesweit",IF(D390&gt;_Datum,
         K389+AVERAGE(F386:F389)*(1+_WR)*(1-(K389-VLOOKUP('Erkrankungs- und Strukturdaten'!$C$45,$D:$M,$K$1,FALSE))/$B$16),
         K391-$B$23*F391),
IF(D390&gt;_Datum,K389+G390,IF(G391="",K391/(K391^(1/N390)),K391-G391)))),"")</f>
        <v>0</v>
      </c>
      <c r="L390" s="64">
        <f>I390/'Erkrankungs- und Strukturdaten'!$C$7</f>
        <v>990052.72727272718</v>
      </c>
      <c r="M390" s="65">
        <f t="shared" si="43"/>
        <v>2.2381205677022269E-3</v>
      </c>
      <c r="N390" s="163">
        <v>217</v>
      </c>
      <c r="O390" s="222">
        <f t="shared" si="44"/>
        <v>1</v>
      </c>
    </row>
    <row r="391" spans="4:15" x14ac:dyDescent="0.2">
      <c r="D391" s="86">
        <v>44245</v>
      </c>
      <c r="E391" s="64">
        <f t="shared" si="45"/>
        <v>1005</v>
      </c>
      <c r="F391" s="101">
        <v>1005</v>
      </c>
      <c r="G391" s="140"/>
      <c r="H391" s="64">
        <f>E391/'Erkrankungs- und Strukturdaten'!$C$7</f>
        <v>1827.272727272727</v>
      </c>
      <c r="I391" s="64">
        <f t="shared" si="46"/>
        <v>545534</v>
      </c>
      <c r="J391" s="64">
        <f t="shared" si="42"/>
        <v>0</v>
      </c>
      <c r="K391" s="101">
        <f>IFERROR(IF(D391=_Datum,Prognoseparameter!$C$14,
IF(_WachstumsrateKURZ="Bundesweit",IF(D391&gt;_Datum,
         K390+AVERAGE(F387:F390)*(1+_WR)*(1-(K390-VLOOKUP('Erkrankungs- und Strukturdaten'!$C$45,$D:$M,$K$1,FALSE))/$B$16),
         K392-$B$23*F392),
IF(D391&gt;_Datum,K390+G391,IF(G392="",K392/(K392^(1/N391)),K392-G392)))),"")</f>
        <v>0</v>
      </c>
      <c r="L391" s="64">
        <f>I391/'Erkrankungs- und Strukturdaten'!$C$7</f>
        <v>991879.99999999988</v>
      </c>
      <c r="M391" s="65">
        <f t="shared" si="43"/>
        <v>1.8456317294395707E-3</v>
      </c>
      <c r="N391" s="163">
        <v>217</v>
      </c>
      <c r="O391" s="222">
        <f t="shared" si="44"/>
        <v>1</v>
      </c>
    </row>
    <row r="392" spans="4:15" x14ac:dyDescent="0.2">
      <c r="D392" s="86">
        <v>44246</v>
      </c>
      <c r="E392" s="64">
        <f t="shared" si="45"/>
        <v>1095</v>
      </c>
      <c r="F392" s="101">
        <v>1095</v>
      </c>
      <c r="G392" s="140"/>
      <c r="H392" s="64">
        <f>E392/'Erkrankungs- und Strukturdaten'!$C$7</f>
        <v>1990.9090909090908</v>
      </c>
      <c r="I392" s="64">
        <f t="shared" si="46"/>
        <v>546629</v>
      </c>
      <c r="J392" s="64">
        <f t="shared" si="42"/>
        <v>0</v>
      </c>
      <c r="K392" s="101">
        <f>IFERROR(IF(D392=_Datum,Prognoseparameter!$C$14,
IF(_WachstumsrateKURZ="Bundesweit",IF(D392&gt;_Datum,
         K391+AVERAGE(F388:F391)*(1+_WR)*(1-(K391-VLOOKUP('Erkrankungs- und Strukturdaten'!$C$45,$D:$M,$K$1,FALSE))/$B$16),
         K393-$B$23*F393),
IF(D392&gt;_Datum,K391+G392,IF(G393="",K393/(K393^(1/N392)),K393-G393)))),"")</f>
        <v>0</v>
      </c>
      <c r="L392" s="64">
        <f>I392/'Erkrankungs- und Strukturdaten'!$C$7</f>
        <v>993870.90909090906</v>
      </c>
      <c r="M392" s="65">
        <f t="shared" si="43"/>
        <v>2.0072076167571592E-3</v>
      </c>
      <c r="N392" s="163">
        <v>217</v>
      </c>
      <c r="O392" s="222">
        <f t="shared" si="44"/>
        <v>1</v>
      </c>
    </row>
    <row r="393" spans="4:15" x14ac:dyDescent="0.2">
      <c r="D393" s="86">
        <v>44247</v>
      </c>
      <c r="E393" s="64">
        <f t="shared" si="45"/>
        <v>692</v>
      </c>
      <c r="F393" s="101">
        <v>692</v>
      </c>
      <c r="G393" s="140"/>
      <c r="H393" s="64">
        <f>E393/'Erkrankungs- und Strukturdaten'!$C$7</f>
        <v>1258.181818181818</v>
      </c>
      <c r="I393" s="64">
        <f t="shared" si="46"/>
        <v>547321</v>
      </c>
      <c r="J393" s="64">
        <f t="shared" si="42"/>
        <v>0</v>
      </c>
      <c r="K393" s="101">
        <f>IFERROR(IF(D393=_Datum,Prognoseparameter!$C$14,
IF(_WachstumsrateKURZ="Bundesweit",IF(D393&gt;_Datum,
         K392+AVERAGE(F389:F392)*(1+_WR)*(1-(K392-VLOOKUP('Erkrankungs- und Strukturdaten'!$C$45,$D:$M,$K$1,FALSE))/$B$16),
         K394-$B$23*F394),
IF(D393&gt;_Datum,K392+G393,IF(G394="",K394/(K394^(1/N393)),K394-G394)))),"")</f>
        <v>0</v>
      </c>
      <c r="L393" s="64">
        <f>I393/'Erkrankungs- und Strukturdaten'!$C$7</f>
        <v>995129.09090909082</v>
      </c>
      <c r="M393" s="65">
        <f t="shared" si="43"/>
        <v>1.2659408849512192E-3</v>
      </c>
      <c r="N393" s="163">
        <v>217</v>
      </c>
      <c r="O393" s="222">
        <f t="shared" si="44"/>
        <v>1</v>
      </c>
    </row>
    <row r="394" spans="4:15" x14ac:dyDescent="0.2">
      <c r="D394" s="86">
        <v>44248</v>
      </c>
      <c r="E394" s="64">
        <f t="shared" si="45"/>
        <v>525</v>
      </c>
      <c r="F394" s="101">
        <v>525</v>
      </c>
      <c r="G394" s="140"/>
      <c r="H394" s="64">
        <f>E394/'Erkrankungs- und Strukturdaten'!$C$7</f>
        <v>954.5454545454545</v>
      </c>
      <c r="I394" s="64">
        <f t="shared" si="46"/>
        <v>547846</v>
      </c>
      <c r="J394" s="64">
        <f t="shared" si="42"/>
        <v>0</v>
      </c>
      <c r="K394" s="101">
        <f>IFERROR(IF(D394=_Datum,Prognoseparameter!$C$14,
IF(_WachstumsrateKURZ="Bundesweit",IF(D394&gt;_Datum,
         K393+AVERAGE(F390:F393)*(1+_WR)*(1-(K393-VLOOKUP('Erkrankungs- und Strukturdaten'!$C$45,$D:$M,$K$1,FALSE))/$B$16),
         K395-$B$23*F395),
IF(D394&gt;_Datum,K393+G394,IF(G395="",K395/(K395^(1/N394)),K395-G395)))),"")</f>
        <v>0</v>
      </c>
      <c r="L394" s="64">
        <f>I394/'Erkrankungs- und Strukturdaten'!$C$7</f>
        <v>996083.63636363624</v>
      </c>
      <c r="M394" s="65">
        <f t="shared" si="43"/>
        <v>9.5921771684258415E-4</v>
      </c>
      <c r="N394" s="163">
        <v>217</v>
      </c>
      <c r="O394" s="222">
        <f t="shared" si="44"/>
        <v>1</v>
      </c>
    </row>
    <row r="395" spans="4:15" x14ac:dyDescent="0.2">
      <c r="D395" s="86">
        <v>44249</v>
      </c>
      <c r="E395" s="64">
        <f t="shared" si="45"/>
        <v>1408</v>
      </c>
      <c r="F395" s="101">
        <v>1408</v>
      </c>
      <c r="G395" s="140"/>
      <c r="H395" s="64">
        <f>E395/'Erkrankungs- und Strukturdaten'!$C$7</f>
        <v>2560</v>
      </c>
      <c r="I395" s="64">
        <f t="shared" si="46"/>
        <v>549254</v>
      </c>
      <c r="J395" s="64">
        <f t="shared" si="42"/>
        <v>0</v>
      </c>
      <c r="K395" s="101">
        <f>IFERROR(IF(D395=_Datum,Prognoseparameter!$C$14,
IF(_WachstumsrateKURZ="Bundesweit",IF(D395&gt;_Datum,
         K394+AVERAGE(F391:F394)*(1+_WR)*(1-(K394-VLOOKUP('Erkrankungs- und Strukturdaten'!$C$45,$D:$M,$K$1,FALSE))/$B$16),
         K396-$B$23*F396),
IF(D395&gt;_Datum,K394+G395,IF(G396="",K396/(K396^(1/N395)),K396-G396)))),"")</f>
        <v>0</v>
      </c>
      <c r="L395" s="64">
        <f>I395/'Erkrankungs- und Strukturdaten'!$C$7</f>
        <v>998643.63636363624</v>
      </c>
      <c r="M395" s="65">
        <f t="shared" si="43"/>
        <v>2.5700653103244344E-3</v>
      </c>
      <c r="N395" s="163">
        <v>217</v>
      </c>
      <c r="O395" s="222">
        <f t="shared" si="44"/>
        <v>1</v>
      </c>
    </row>
    <row r="396" spans="4:15" x14ac:dyDescent="0.2">
      <c r="D396" s="86">
        <v>44250</v>
      </c>
      <c r="E396" s="64">
        <f t="shared" si="45"/>
        <v>1259</v>
      </c>
      <c r="F396" s="101">
        <v>1259</v>
      </c>
      <c r="G396" s="140"/>
      <c r="H396" s="64">
        <f>E396/'Erkrankungs- und Strukturdaten'!$C$7</f>
        <v>2289.090909090909</v>
      </c>
      <c r="I396" s="64">
        <f t="shared" si="46"/>
        <v>550513</v>
      </c>
      <c r="J396" s="64">
        <f t="shared" si="42"/>
        <v>0</v>
      </c>
      <c r="K396" s="101">
        <f>IFERROR(IF(D396=_Datum,Prognoseparameter!$C$14,
IF(_WachstumsrateKURZ="Bundesweit",IF(D396&gt;_Datum,
         K395+AVERAGE(F392:F395)*(1+_WR)*(1-(K395-VLOOKUP('Erkrankungs- und Strukturdaten'!$C$45,$D:$M,$K$1,FALSE))/$B$16),
         K397-$B$23*F397),
IF(D396&gt;_Datum,K395+G396,IF(G397="",K397/(K397^(1/N396)),K397-G397)))),"")</f>
        <v>0</v>
      </c>
      <c r="L396" s="64">
        <f>I396/'Erkrankungs- und Strukturdaten'!$C$7</f>
        <v>1000932.7272727272</v>
      </c>
      <c r="M396" s="65">
        <f t="shared" si="43"/>
        <v>2.2921999657717559E-3</v>
      </c>
      <c r="N396" s="163">
        <v>217</v>
      </c>
      <c r="O396" s="222">
        <f t="shared" si="44"/>
        <v>1</v>
      </c>
    </row>
    <row r="397" spans="4:15" x14ac:dyDescent="0.2">
      <c r="D397" s="86">
        <v>44251</v>
      </c>
      <c r="E397" s="64">
        <f t="shared" si="45"/>
        <v>1077</v>
      </c>
      <c r="F397" s="101">
        <v>1077</v>
      </c>
      <c r="G397" s="140"/>
      <c r="H397" s="64">
        <f>E397/'Erkrankungs- und Strukturdaten'!$C$7</f>
        <v>1958.181818181818</v>
      </c>
      <c r="I397" s="64">
        <f t="shared" si="46"/>
        <v>551590</v>
      </c>
      <c r="J397" s="64">
        <f t="shared" si="42"/>
        <v>0</v>
      </c>
      <c r="K397" s="101">
        <f>IFERROR(IF(D397=_Datum,Prognoseparameter!$C$14,
IF(_WachstumsrateKURZ="Bundesweit",IF(D397&gt;_Datum,
         K396+AVERAGE(F393:F396)*(1+_WR)*(1-(K396-VLOOKUP('Erkrankungs- und Strukturdaten'!$C$45,$D:$M,$K$1,FALSE))/$B$16),
         K398-$B$23*F398),
IF(D397&gt;_Datum,K396+G397,IF(G398="",K398/(K398^(1/N397)),K398-G398)))),"")</f>
        <v>0</v>
      </c>
      <c r="L397" s="64">
        <f>I397/'Erkrankungs- und Strukturdaten'!$C$7</f>
        <v>1002890.9090909091</v>
      </c>
      <c r="M397" s="65">
        <f t="shared" si="43"/>
        <v>1.9563570705868889E-3</v>
      </c>
      <c r="N397" s="163">
        <v>217</v>
      </c>
      <c r="O397" s="222">
        <f t="shared" si="44"/>
        <v>1</v>
      </c>
    </row>
    <row r="398" spans="4:15" x14ac:dyDescent="0.2">
      <c r="D398" s="86">
        <v>44252</v>
      </c>
      <c r="E398" s="64">
        <f t="shared" si="45"/>
        <v>1121</v>
      </c>
      <c r="F398" s="101">
        <v>1121</v>
      </c>
      <c r="G398" s="140"/>
      <c r="H398" s="64">
        <f>E398/'Erkrankungs- und Strukturdaten'!$C$7</f>
        <v>2038.181818181818</v>
      </c>
      <c r="I398" s="64">
        <f t="shared" si="46"/>
        <v>552711</v>
      </c>
      <c r="J398" s="64">
        <f t="shared" si="42"/>
        <v>0</v>
      </c>
      <c r="K398" s="101">
        <f>IFERROR(IF(D398=_Datum,Prognoseparameter!$C$14,
IF(_WachstumsrateKURZ="Bundesweit",IF(D398&gt;_Datum,
         K397+AVERAGE(F394:F397)*(1+_WR)*(1-(K397-VLOOKUP('Erkrankungs- und Strukturdaten'!$C$45,$D:$M,$K$1,FALSE))/$B$16),
         K399-$B$23*F399),
IF(D398&gt;_Datum,K397+G398,IF(G399="",K399/(K399^(1/N398)),K399-G399)))),"")</f>
        <v>0</v>
      </c>
      <c r="L398" s="64">
        <f>I398/'Erkrankungs- und Strukturdaten'!$C$7</f>
        <v>1004929.0909090908</v>
      </c>
      <c r="M398" s="65">
        <f t="shared" si="43"/>
        <v>2.0323066045432295E-3</v>
      </c>
      <c r="N398" s="163">
        <v>217</v>
      </c>
      <c r="O398" s="222">
        <f t="shared" si="44"/>
        <v>1</v>
      </c>
    </row>
    <row r="399" spans="4:15" x14ac:dyDescent="0.2">
      <c r="D399" s="86">
        <v>44253</v>
      </c>
      <c r="E399" s="64">
        <f t="shared" si="45"/>
        <v>1081</v>
      </c>
      <c r="F399" s="101">
        <v>1081</v>
      </c>
      <c r="G399" s="140"/>
      <c r="H399" s="64">
        <f>E399/'Erkrankungs- und Strukturdaten'!$C$7</f>
        <v>1965.4545454545453</v>
      </c>
      <c r="I399" s="64">
        <f t="shared" si="46"/>
        <v>553792</v>
      </c>
      <c r="J399" s="64">
        <f t="shared" si="42"/>
        <v>0</v>
      </c>
      <c r="K399" s="101">
        <f>IFERROR(IF(D399=_Datum,Prognoseparameter!$C$14,
IF(_WachstumsrateKURZ="Bundesweit",IF(D399&gt;_Datum,
         K398+AVERAGE(F395:F398)*(1+_WR)*(1-(K398-VLOOKUP('Erkrankungs- und Strukturdaten'!$C$45,$D:$M,$K$1,FALSE))/$B$16),
         K400-$B$23*F400),
IF(D399&gt;_Datum,K398+G399,IF(G400="",K400/(K400^(1/N399)),K400-G400)))),"")</f>
        <v>0</v>
      </c>
      <c r="L399" s="64">
        <f>I399/'Erkrankungs- und Strukturdaten'!$C$7</f>
        <v>1006894.5454545454</v>
      </c>
      <c r="M399" s="65">
        <f t="shared" si="43"/>
        <v>1.9558141596602925E-3</v>
      </c>
      <c r="N399" s="163">
        <v>217</v>
      </c>
      <c r="O399" s="222">
        <f t="shared" si="44"/>
        <v>1</v>
      </c>
    </row>
    <row r="400" spans="4:15" x14ac:dyDescent="0.2">
      <c r="D400" s="86">
        <v>44254</v>
      </c>
      <c r="E400" s="64">
        <f t="shared" si="45"/>
        <v>723</v>
      </c>
      <c r="F400" s="101">
        <v>723</v>
      </c>
      <c r="G400" s="140"/>
      <c r="H400" s="64">
        <f>E400/'Erkrankungs- und Strukturdaten'!$C$7</f>
        <v>1314.5454545454545</v>
      </c>
      <c r="I400" s="64">
        <f t="shared" si="46"/>
        <v>554515</v>
      </c>
      <c r="J400" s="64">
        <f t="shared" si="42"/>
        <v>0</v>
      </c>
      <c r="K400" s="101">
        <f>IFERROR(IF(D400=_Datum,Prognoseparameter!$C$14,
IF(_WachstumsrateKURZ="Bundesweit",IF(D400&gt;_Datum,
         K399+AVERAGE(F396:F399)*(1+_WR)*(1-(K399-VLOOKUP('Erkrankungs- und Strukturdaten'!$C$45,$D:$M,$K$1,FALSE))/$B$16),
         K401-$B$23*F401),
IF(D400&gt;_Datum,K399+G400,IF(G401="",K401/(K401^(1/N400)),K401-G401)))),"")</f>
        <v>0</v>
      </c>
      <c r="L400" s="64">
        <f>I400/'Erkrankungs- und Strukturdaten'!$C$7</f>
        <v>1008209.0909090908</v>
      </c>
      <c r="M400" s="65">
        <f t="shared" si="43"/>
        <v>1.3055443198890558E-3</v>
      </c>
      <c r="N400" s="163">
        <v>217</v>
      </c>
      <c r="O400" s="222">
        <f t="shared" si="44"/>
        <v>1</v>
      </c>
    </row>
    <row r="401" spans="4:15" x14ac:dyDescent="0.2">
      <c r="D401" s="86">
        <v>44255</v>
      </c>
      <c r="E401" s="64">
        <f t="shared" si="45"/>
        <v>546</v>
      </c>
      <c r="F401" s="101">
        <v>546</v>
      </c>
      <c r="G401" s="140"/>
      <c r="H401" s="64">
        <f>E401/'Erkrankungs- und Strukturdaten'!$C$7</f>
        <v>992.72727272727263</v>
      </c>
      <c r="I401" s="64">
        <f t="shared" si="46"/>
        <v>555061</v>
      </c>
      <c r="J401" s="64">
        <f t="shared" si="42"/>
        <v>0</v>
      </c>
      <c r="K401" s="101">
        <f>IFERROR(IF(D401=_Datum,Prognoseparameter!$C$14,
IF(_WachstumsrateKURZ="Bundesweit",IF(D401&gt;_Datum,
         K400+AVERAGE(F397:F400)*(1+_WR)*(1-(K400-VLOOKUP('Erkrankungs- und Strukturdaten'!$C$45,$D:$M,$K$1,FALSE))/$B$16),
         K402-$B$23*F402),
IF(D401&gt;_Datum,K400+G401,IF(G402="",K402/(K402^(1/N401)),K402-G402)))),"")</f>
        <v>0</v>
      </c>
      <c r="L401" s="64">
        <f>I401/'Erkrankungs- und Strukturdaten'!$C$7</f>
        <v>1009201.8181818181</v>
      </c>
      <c r="M401" s="65">
        <f t="shared" si="43"/>
        <v>9.8464423865900837E-4</v>
      </c>
      <c r="N401" s="163">
        <v>217</v>
      </c>
      <c r="O401" s="222">
        <f t="shared" si="44"/>
        <v>1</v>
      </c>
    </row>
    <row r="402" spans="4:15" x14ac:dyDescent="0.2">
      <c r="D402" s="86">
        <v>44256</v>
      </c>
      <c r="E402" s="64">
        <f t="shared" si="45"/>
        <v>1419</v>
      </c>
      <c r="F402" s="101">
        <v>1419</v>
      </c>
      <c r="G402" s="140"/>
      <c r="H402" s="64">
        <f>E402/'Erkrankungs- und Strukturdaten'!$C$7</f>
        <v>2580</v>
      </c>
      <c r="I402" s="64">
        <f t="shared" si="46"/>
        <v>556480</v>
      </c>
      <c r="J402" s="64">
        <f t="shared" si="42"/>
        <v>0</v>
      </c>
      <c r="K402" s="101">
        <f>IFERROR(IF(D402=_Datum,Prognoseparameter!$C$14,
IF(_WachstumsrateKURZ="Bundesweit",IF(D402&gt;_Datum,
         K401+AVERAGE(F398:F401)*(1+_WR)*(1-(K401-VLOOKUP('Erkrankungs- und Strukturdaten'!$C$45,$D:$M,$K$1,FALSE))/$B$16),
         K403-$B$23*F403),
IF(D402&gt;_Datum,K401+G402,IF(G403="",K403/(K403^(1/N402)),K403-G403)))),"")</f>
        <v>0</v>
      </c>
      <c r="L402" s="64">
        <f>I402/'Erkrankungs- und Strukturdaten'!$C$7</f>
        <v>1011781.8181818181</v>
      </c>
      <c r="M402" s="65">
        <f t="shared" si="43"/>
        <v>2.5564757747346687E-3</v>
      </c>
      <c r="N402" s="163">
        <v>217</v>
      </c>
      <c r="O402" s="222">
        <f t="shared" si="44"/>
        <v>1</v>
      </c>
    </row>
    <row r="403" spans="4:15" x14ac:dyDescent="0.2">
      <c r="D403" s="86">
        <v>44257</v>
      </c>
      <c r="E403" s="64">
        <f t="shared" si="45"/>
        <v>1229</v>
      </c>
      <c r="F403" s="101">
        <v>1229</v>
      </c>
      <c r="G403" s="140"/>
      <c r="H403" s="64">
        <f>E403/'Erkrankungs- und Strukturdaten'!$C$7</f>
        <v>2234.5454545454545</v>
      </c>
      <c r="I403" s="64">
        <f t="shared" si="46"/>
        <v>557709</v>
      </c>
      <c r="J403" s="64">
        <f t="shared" si="42"/>
        <v>0</v>
      </c>
      <c r="K403" s="101">
        <f>IFERROR(IF(D403=_Datum,Prognoseparameter!$C$14,
IF(_WachstumsrateKURZ="Bundesweit",IF(D403&gt;_Datum,
         K402+AVERAGE(F399:F402)*(1+_WR)*(1-(K402-VLOOKUP('Erkrankungs- und Strukturdaten'!$C$45,$D:$M,$K$1,FALSE))/$B$16),
         K404-$B$23*F404),
IF(D403&gt;_Datum,K402+G403,IF(G404="",K404/(K404^(1/N403)),K404-G404)))),"")</f>
        <v>0</v>
      </c>
      <c r="L403" s="64">
        <f>I403/'Erkrankungs- und Strukturdaten'!$C$7</f>
        <v>1014016.3636363635</v>
      </c>
      <c r="M403" s="65">
        <f t="shared" si="43"/>
        <v>2.2085250143760783E-3</v>
      </c>
      <c r="N403" s="163">
        <v>217</v>
      </c>
      <c r="O403" s="222">
        <f t="shared" si="44"/>
        <v>1</v>
      </c>
    </row>
    <row r="404" spans="4:15" x14ac:dyDescent="0.2">
      <c r="D404" s="86">
        <v>44258</v>
      </c>
      <c r="E404" s="64">
        <f t="shared" si="45"/>
        <v>1241</v>
      </c>
      <c r="F404" s="101">
        <v>1241</v>
      </c>
      <c r="G404" s="140"/>
      <c r="H404" s="64">
        <f>E404/'Erkrankungs- und Strukturdaten'!$C$7</f>
        <v>2256.363636363636</v>
      </c>
      <c r="I404" s="64">
        <f t="shared" si="46"/>
        <v>558950</v>
      </c>
      <c r="J404" s="64">
        <f t="shared" si="42"/>
        <v>0</v>
      </c>
      <c r="K404" s="101">
        <f>IFERROR(IF(D404=_Datum,Prognoseparameter!$C$14,
IF(_WachstumsrateKURZ="Bundesweit",IF(D404&gt;_Datum,
         K403+AVERAGE(F400:F403)*(1+_WR)*(1-(K403-VLOOKUP('Erkrankungs- und Strukturdaten'!$C$45,$D:$M,$K$1,FALSE))/$B$16),
         K405-$B$23*F405),
IF(D404&gt;_Datum,K403+G404,IF(G405="",K405/(K405^(1/N404)),K405-G405)))),"")</f>
        <v>0</v>
      </c>
      <c r="L404" s="64">
        <f>I404/'Erkrankungs- und Strukturdaten'!$C$7</f>
        <v>1016272.7272727272</v>
      </c>
      <c r="M404" s="65">
        <f t="shared" si="43"/>
        <v>2.2251747775273484E-3</v>
      </c>
      <c r="N404" s="163">
        <v>217</v>
      </c>
      <c r="O404" s="222">
        <f t="shared" si="44"/>
        <v>1</v>
      </c>
    </row>
    <row r="405" spans="4:15" x14ac:dyDescent="0.2">
      <c r="D405" s="86">
        <v>44259</v>
      </c>
      <c r="E405" s="64">
        <f t="shared" si="45"/>
        <v>1061</v>
      </c>
      <c r="F405" s="101">
        <v>1061</v>
      </c>
      <c r="G405" s="140"/>
      <c r="H405" s="64">
        <f>E405/'Erkrankungs- und Strukturdaten'!$C$7</f>
        <v>1929.090909090909</v>
      </c>
      <c r="I405" s="64">
        <f t="shared" si="46"/>
        <v>560011</v>
      </c>
      <c r="J405" s="64">
        <f t="shared" si="42"/>
        <v>0</v>
      </c>
      <c r="K405" s="101">
        <f>IFERROR(IF(D405=_Datum,Prognoseparameter!$C$14,
IF(_WachstumsrateKURZ="Bundesweit",IF(D405&gt;_Datum,
         K404+AVERAGE(F401:F404)*(1+_WR)*(1-(K404-VLOOKUP('Erkrankungs- und Strukturdaten'!$C$45,$D:$M,$K$1,FALSE))/$B$16),
         K406-$B$23*F406),
IF(D405&gt;_Datum,K404+G405,IF(G406="",K406/(K406^(1/N405)),K406-G406)))),"")</f>
        <v>0</v>
      </c>
      <c r="L405" s="64">
        <f>I405/'Erkrankungs- und Strukturdaten'!$C$7</f>
        <v>1018201.8181818181</v>
      </c>
      <c r="M405" s="65">
        <f t="shared" si="43"/>
        <v>1.8982019858663566E-3</v>
      </c>
      <c r="N405" s="163">
        <v>217</v>
      </c>
      <c r="O405" s="222">
        <f t="shared" si="44"/>
        <v>1</v>
      </c>
    </row>
    <row r="406" spans="4:15" x14ac:dyDescent="0.2">
      <c r="D406" s="86">
        <v>44260</v>
      </c>
      <c r="E406" s="64">
        <f t="shared" si="45"/>
        <v>1277</v>
      </c>
      <c r="F406" s="101">
        <v>1277</v>
      </c>
      <c r="G406" s="140"/>
      <c r="H406" s="64">
        <f>E406/'Erkrankungs- und Strukturdaten'!$C$7</f>
        <v>2321.8181818181815</v>
      </c>
      <c r="I406" s="64">
        <f t="shared" si="46"/>
        <v>561288</v>
      </c>
      <c r="J406" s="64">
        <f t="shared" si="42"/>
        <v>0</v>
      </c>
      <c r="K406" s="101">
        <f>IFERROR(IF(D406=_Datum,Prognoseparameter!$C$14,
IF(_WachstumsrateKURZ="Bundesweit",IF(D406&gt;_Datum,
         K405+AVERAGE(F402:F405)*(1+_WR)*(1-(K405-VLOOKUP('Erkrankungs- und Strukturdaten'!$C$45,$D:$M,$K$1,FALSE))/$B$16),
         K407-$B$23*F407),
IF(D406&gt;_Datum,K405+G406,IF(G407="",K407/(K407^(1/N406)),K407-G407)))),"")</f>
        <v>0</v>
      </c>
      <c r="L406" s="64">
        <f>I406/'Erkrankungs- und Strukturdaten'!$C$7</f>
        <v>1020523.6363636362</v>
      </c>
      <c r="M406" s="65">
        <f t="shared" si="43"/>
        <v>2.2803123510073907E-3</v>
      </c>
      <c r="N406" s="163">
        <v>217</v>
      </c>
      <c r="O406" s="222">
        <f t="shared" si="44"/>
        <v>1</v>
      </c>
    </row>
    <row r="407" spans="4:15" x14ac:dyDescent="0.2">
      <c r="D407" s="86">
        <v>44261</v>
      </c>
      <c r="E407" s="64">
        <f t="shared" si="45"/>
        <v>765</v>
      </c>
      <c r="F407" s="101">
        <v>765</v>
      </c>
      <c r="G407" s="140"/>
      <c r="H407" s="64">
        <f>E407/'Erkrankungs- und Strukturdaten'!$C$7</f>
        <v>1390.9090909090908</v>
      </c>
      <c r="I407" s="64">
        <f t="shared" si="46"/>
        <v>562053</v>
      </c>
      <c r="J407" s="64">
        <f t="shared" ref="J407:J470" si="47">J406+G407</f>
        <v>0</v>
      </c>
      <c r="K407" s="101">
        <f>IFERROR(IF(D407=_Datum,Prognoseparameter!$C$14,
IF(_WachstumsrateKURZ="Bundesweit",IF(D407&gt;_Datum,
         K406+AVERAGE(F403:F406)*(1+_WR)*(1-(K406-VLOOKUP('Erkrankungs- und Strukturdaten'!$C$45,$D:$M,$K$1,FALSE))/$B$16),
         K408-$B$23*F408),
IF(D407&gt;_Datum,K406+G407,IF(G408="",K408/(K408^(1/N407)),K408-G408)))),"")</f>
        <v>0</v>
      </c>
      <c r="L407" s="64">
        <f>I407/'Erkrankungs- und Strukturdaten'!$C$7</f>
        <v>1021914.5454545454</v>
      </c>
      <c r="M407" s="65">
        <f t="shared" ref="M407:M470" si="48">IFERROR((I407-I406)/I406,0)</f>
        <v>1.3629366742207208E-3</v>
      </c>
      <c r="N407" s="163">
        <v>217</v>
      </c>
      <c r="O407" s="222">
        <f t="shared" ref="O407:O470" si="49">IF(F407=ROUNDDOWN(F407,0),1,0)</f>
        <v>1</v>
      </c>
    </row>
    <row r="408" spans="4:15" x14ac:dyDescent="0.2">
      <c r="D408" s="86">
        <v>44262</v>
      </c>
      <c r="E408" s="64">
        <f t="shared" si="45"/>
        <v>582</v>
      </c>
      <c r="F408" s="101">
        <v>582</v>
      </c>
      <c r="G408" s="140"/>
      <c r="H408" s="64">
        <f>E408/'Erkrankungs- und Strukturdaten'!$C$7</f>
        <v>1058.181818181818</v>
      </c>
      <c r="I408" s="64">
        <f t="shared" si="46"/>
        <v>562635</v>
      </c>
      <c r="J408" s="64">
        <f t="shared" si="47"/>
        <v>0</v>
      </c>
      <c r="K408" s="101">
        <f>IFERROR(IF(D408=_Datum,Prognoseparameter!$C$14,
IF(_WachstumsrateKURZ="Bundesweit",IF(D408&gt;_Datum,
         K407+AVERAGE(F404:F407)*(1+_WR)*(1-(K407-VLOOKUP('Erkrankungs- und Strukturdaten'!$C$45,$D:$M,$K$1,FALSE))/$B$16),
         K409-$B$23*F409),
IF(D408&gt;_Datum,K407+G408,IF(G409="",K409/(K409^(1/N408)),K409-G409)))),"")</f>
        <v>0</v>
      </c>
      <c r="L408" s="64">
        <f>I408/'Erkrankungs- und Strukturdaten'!$C$7</f>
        <v>1022972.7272727272</v>
      </c>
      <c r="M408" s="65">
        <f t="shared" si="48"/>
        <v>1.0354895356843572E-3</v>
      </c>
      <c r="N408" s="163">
        <v>217</v>
      </c>
      <c r="O408" s="222">
        <f t="shared" si="49"/>
        <v>1</v>
      </c>
    </row>
    <row r="409" spans="4:15" x14ac:dyDescent="0.2">
      <c r="D409" s="86">
        <v>44263</v>
      </c>
      <c r="E409" s="64">
        <f t="shared" si="45"/>
        <v>1702</v>
      </c>
      <c r="F409" s="101">
        <v>1702</v>
      </c>
      <c r="G409" s="140"/>
      <c r="H409" s="64">
        <f>E409/'Erkrankungs- und Strukturdaten'!$C$7</f>
        <v>3094.5454545454545</v>
      </c>
      <c r="I409" s="64">
        <f t="shared" si="46"/>
        <v>564337</v>
      </c>
      <c r="J409" s="64">
        <f t="shared" si="47"/>
        <v>0</v>
      </c>
      <c r="K409" s="101">
        <f>IFERROR(IF(D409=_Datum,Prognoseparameter!$C$14,
IF(_WachstumsrateKURZ="Bundesweit",IF(D409&gt;_Datum,
         K408+AVERAGE(F405:F408)*(1+_WR)*(1-(K408-VLOOKUP('Erkrankungs- und Strukturdaten'!$C$45,$D:$M,$K$1,FALSE))/$B$16),
         K410-$B$23*F410),
IF(D409&gt;_Datum,K408+G409,IF(G410="",K410/(K410^(1/N409)),K410-G410)))),"")</f>
        <v>0</v>
      </c>
      <c r="L409" s="64">
        <f>I409/'Erkrankungs- und Strukturdaten'!$C$7</f>
        <v>1026067.2727272726</v>
      </c>
      <c r="M409" s="65">
        <f t="shared" si="48"/>
        <v>3.025051765354093E-3</v>
      </c>
      <c r="N409" s="163">
        <v>217</v>
      </c>
      <c r="O409" s="222">
        <f t="shared" si="49"/>
        <v>1</v>
      </c>
    </row>
    <row r="410" spans="4:15" x14ac:dyDescent="0.2">
      <c r="D410" s="86">
        <v>44264</v>
      </c>
      <c r="E410" s="64">
        <f t="shared" si="45"/>
        <v>1387</v>
      </c>
      <c r="F410" s="101">
        <v>1387</v>
      </c>
      <c r="G410" s="140"/>
      <c r="H410" s="64">
        <f>E410/'Erkrankungs- und Strukturdaten'!$C$7</f>
        <v>2521.8181818181815</v>
      </c>
      <c r="I410" s="64">
        <f t="shared" si="46"/>
        <v>565724</v>
      </c>
      <c r="J410" s="64">
        <f t="shared" si="47"/>
        <v>0</v>
      </c>
      <c r="K410" s="101">
        <f>IFERROR(IF(D410=_Datum,Prognoseparameter!$C$14,
IF(_WachstumsrateKURZ="Bundesweit",IF(D410&gt;_Datum,
         K409+AVERAGE(F406:F409)*(1+_WR)*(1-(K409-VLOOKUP('Erkrankungs- und Strukturdaten'!$C$45,$D:$M,$K$1,FALSE))/$B$16),
         K411-$B$23*F411),
IF(D410&gt;_Datum,K409+G410,IF(G411="",K411/(K411^(1/N410)),K411-G411)))),"")</f>
        <v>0</v>
      </c>
      <c r="L410" s="64">
        <f>I410/'Erkrankungs- und Strukturdaten'!$C$7</f>
        <v>1028589.0909090908</v>
      </c>
      <c r="M410" s="65">
        <f t="shared" si="48"/>
        <v>2.4577513081722444E-3</v>
      </c>
      <c r="N410" s="163">
        <v>217</v>
      </c>
      <c r="O410" s="222">
        <f t="shared" si="49"/>
        <v>1</v>
      </c>
    </row>
    <row r="411" spans="4:15" x14ac:dyDescent="0.2">
      <c r="D411" s="86">
        <v>44265</v>
      </c>
      <c r="E411" s="64">
        <f t="shared" si="45"/>
        <v>1386</v>
      </c>
      <c r="F411" s="101">
        <v>1386</v>
      </c>
      <c r="G411" s="140"/>
      <c r="H411" s="64">
        <f>E411/'Erkrankungs- und Strukturdaten'!$C$7</f>
        <v>2520</v>
      </c>
      <c r="I411" s="64">
        <f t="shared" si="46"/>
        <v>567110</v>
      </c>
      <c r="J411" s="64">
        <f t="shared" si="47"/>
        <v>0</v>
      </c>
      <c r="K411" s="101">
        <f>IFERROR(IF(D411=_Datum,Prognoseparameter!$C$14,
IF(_WachstumsrateKURZ="Bundesweit",IF(D411&gt;_Datum,
         K410+AVERAGE(F407:F410)*(1+_WR)*(1-(K410-VLOOKUP('Erkrankungs- und Strukturdaten'!$C$45,$D:$M,$K$1,FALSE))/$B$16),
         K412-$B$23*F412),
IF(D411&gt;_Datum,K410+G411,IF(G412="",K412/(K412^(1/N411)),K412-G412)))),"")</f>
        <v>0</v>
      </c>
      <c r="L411" s="64">
        <f>I411/'Erkrankungs- und Strukturdaten'!$C$7</f>
        <v>1031109.0909090908</v>
      </c>
      <c r="M411" s="65">
        <f t="shared" si="48"/>
        <v>2.4499579300153434E-3</v>
      </c>
      <c r="N411" s="163">
        <v>217</v>
      </c>
      <c r="O411" s="222">
        <f t="shared" si="49"/>
        <v>1</v>
      </c>
    </row>
    <row r="412" spans="4:15" x14ac:dyDescent="0.2">
      <c r="D412" s="86">
        <v>44266</v>
      </c>
      <c r="E412" s="64">
        <f t="shared" si="45"/>
        <v>1339</v>
      </c>
      <c r="F412" s="101">
        <v>1339</v>
      </c>
      <c r="G412" s="140"/>
      <c r="H412" s="64">
        <f>E412/'Erkrankungs- und Strukturdaten'!$C$7</f>
        <v>2434.5454545454545</v>
      </c>
      <c r="I412" s="64">
        <f t="shared" si="46"/>
        <v>568449</v>
      </c>
      <c r="J412" s="64">
        <f t="shared" si="47"/>
        <v>0</v>
      </c>
      <c r="K412" s="101">
        <f>IFERROR(IF(D412=_Datum,Prognoseparameter!$C$14,
IF(_WachstumsrateKURZ="Bundesweit",IF(D412&gt;_Datum,
         K411+AVERAGE(F408:F411)*(1+_WR)*(1-(K411-VLOOKUP('Erkrankungs- und Strukturdaten'!$C$45,$D:$M,$K$1,FALSE))/$B$16),
         K413-$B$23*F413),
IF(D412&gt;_Datum,K411+G412,IF(G413="",K413/(K413^(1/N412)),K413-G413)))),"")</f>
        <v>0</v>
      </c>
      <c r="L412" s="64">
        <f>I412/'Erkrankungs- und Strukturdaten'!$C$7</f>
        <v>1033543.6363636362</v>
      </c>
      <c r="M412" s="65">
        <f t="shared" si="48"/>
        <v>2.3610939676605948E-3</v>
      </c>
      <c r="N412" s="163">
        <v>217</v>
      </c>
      <c r="O412" s="222">
        <f t="shared" si="49"/>
        <v>1</v>
      </c>
    </row>
    <row r="413" spans="4:15" x14ac:dyDescent="0.2">
      <c r="D413" s="86">
        <v>44267</v>
      </c>
      <c r="E413" s="64">
        <f t="shared" si="45"/>
        <v>1341</v>
      </c>
      <c r="F413" s="101">
        <v>1341</v>
      </c>
      <c r="G413" s="140"/>
      <c r="H413" s="64">
        <f>E413/'Erkrankungs- und Strukturdaten'!$C$7</f>
        <v>2438.181818181818</v>
      </c>
      <c r="I413" s="64">
        <f t="shared" si="46"/>
        <v>569790</v>
      </c>
      <c r="J413" s="64">
        <f t="shared" si="47"/>
        <v>0</v>
      </c>
      <c r="K413" s="101">
        <f>IFERROR(IF(D413=_Datum,Prognoseparameter!$C$14,
IF(_WachstumsrateKURZ="Bundesweit",IF(D413&gt;_Datum,
         K412+AVERAGE(F409:F412)*(1+_WR)*(1-(K412-VLOOKUP('Erkrankungs- und Strukturdaten'!$C$45,$D:$M,$K$1,FALSE))/$B$16),
         K414-$B$23*F414),
IF(D413&gt;_Datum,K412+G413,IF(G414="",K414/(K414^(1/N413)),K414-G414)))),"")</f>
        <v>0</v>
      </c>
      <c r="L413" s="64">
        <f>I413/'Erkrankungs- und Strukturdaten'!$C$7</f>
        <v>1035981.8181818181</v>
      </c>
      <c r="M413" s="65">
        <f t="shared" si="48"/>
        <v>2.359050680008233E-3</v>
      </c>
      <c r="N413" s="163">
        <v>217</v>
      </c>
      <c r="O413" s="222">
        <f t="shared" si="49"/>
        <v>1</v>
      </c>
    </row>
    <row r="414" spans="4:15" x14ac:dyDescent="0.2">
      <c r="D414" s="86">
        <v>44268</v>
      </c>
      <c r="E414" s="64">
        <f t="shared" si="45"/>
        <v>921</v>
      </c>
      <c r="F414" s="101">
        <v>921</v>
      </c>
      <c r="G414" s="140"/>
      <c r="H414" s="64">
        <f>E414/'Erkrankungs- und Strukturdaten'!$C$7</f>
        <v>1674.5454545454545</v>
      </c>
      <c r="I414" s="64">
        <f t="shared" si="46"/>
        <v>570711</v>
      </c>
      <c r="J414" s="64">
        <f t="shared" si="47"/>
        <v>0</v>
      </c>
      <c r="K414" s="101">
        <f>IFERROR(IF(D414=_Datum,Prognoseparameter!$C$14,
IF(_WachstumsrateKURZ="Bundesweit",IF(D414&gt;_Datum,
         K413+AVERAGE(F410:F413)*(1+_WR)*(1-(K413-VLOOKUP('Erkrankungs- und Strukturdaten'!$C$45,$D:$M,$K$1,FALSE))/$B$16),
         K415-$B$23*F415),
IF(D414&gt;_Datum,K413+G414,IF(G415="",K415/(K415^(1/N414)),K415-G415)))),"")</f>
        <v>0</v>
      </c>
      <c r="L414" s="64">
        <f>I414/'Erkrankungs- und Strukturdaten'!$C$7</f>
        <v>1037656.3636363635</v>
      </c>
      <c r="M414" s="65">
        <f t="shared" si="48"/>
        <v>1.6163849839414522E-3</v>
      </c>
      <c r="N414" s="163">
        <v>217</v>
      </c>
      <c r="O414" s="222">
        <f t="shared" si="49"/>
        <v>1</v>
      </c>
    </row>
    <row r="415" spans="4:15" x14ac:dyDescent="0.2">
      <c r="D415" s="86">
        <v>44269</v>
      </c>
      <c r="E415" s="64">
        <f t="shared" si="45"/>
        <v>704</v>
      </c>
      <c r="F415" s="101">
        <v>704</v>
      </c>
      <c r="G415" s="140"/>
      <c r="H415" s="64">
        <f>E415/'Erkrankungs- und Strukturdaten'!$C$7</f>
        <v>1280</v>
      </c>
      <c r="I415" s="64">
        <f t="shared" si="46"/>
        <v>571415</v>
      </c>
      <c r="J415" s="64">
        <f t="shared" si="47"/>
        <v>0</v>
      </c>
      <c r="K415" s="101">
        <f>IFERROR(IF(D415=_Datum,Prognoseparameter!$C$14,
IF(_WachstumsrateKURZ="Bundesweit",IF(D415&gt;_Datum,
         K414+AVERAGE(F411:F414)*(1+_WR)*(1-(K414-VLOOKUP('Erkrankungs- und Strukturdaten'!$C$45,$D:$M,$K$1,FALSE))/$B$16),
         K416-$B$23*F416),
IF(D415&gt;_Datum,K414+G415,IF(G416="",K416/(K416^(1/N415)),K416-G416)))),"")</f>
        <v>0</v>
      </c>
      <c r="L415" s="64">
        <f>I415/'Erkrankungs- und Strukturdaten'!$C$7</f>
        <v>1038936.3636363635</v>
      </c>
      <c r="M415" s="65">
        <f t="shared" si="48"/>
        <v>1.2335490291934096E-3</v>
      </c>
      <c r="N415" s="163">
        <v>217</v>
      </c>
      <c r="O415" s="222">
        <f t="shared" si="49"/>
        <v>1</v>
      </c>
    </row>
    <row r="416" spans="4:15" x14ac:dyDescent="0.2">
      <c r="D416" s="86">
        <v>44270</v>
      </c>
      <c r="E416" s="64">
        <f t="shared" si="45"/>
        <v>1920</v>
      </c>
      <c r="F416" s="101">
        <v>1920</v>
      </c>
      <c r="G416" s="140"/>
      <c r="H416" s="64">
        <f>E416/'Erkrankungs- und Strukturdaten'!$C$7</f>
        <v>3490.9090909090905</v>
      </c>
      <c r="I416" s="64">
        <f t="shared" si="46"/>
        <v>573335</v>
      </c>
      <c r="J416" s="64">
        <f t="shared" si="47"/>
        <v>0</v>
      </c>
      <c r="K416" s="101">
        <f>IFERROR(IF(D416=_Datum,Prognoseparameter!$C$14,
IF(_WachstumsrateKURZ="Bundesweit",IF(D416&gt;_Datum,
         K415+AVERAGE(F412:F415)*(1+_WR)*(1-(K415-VLOOKUP('Erkrankungs- und Strukturdaten'!$C$45,$D:$M,$K$1,FALSE))/$B$16),
         K417-$B$23*F417),
IF(D416&gt;_Datum,K415+G416,IF(G417="",K417/(K417^(1/N416)),K417-G417)))),"")</f>
        <v>0</v>
      </c>
      <c r="L416" s="64">
        <f>I416/'Erkrankungs- und Strukturdaten'!$C$7</f>
        <v>1042427.2727272726</v>
      </c>
      <c r="M416" s="65">
        <f t="shared" si="48"/>
        <v>3.3600798018952951E-3</v>
      </c>
      <c r="N416" s="163">
        <v>217</v>
      </c>
      <c r="O416" s="222">
        <f t="shared" si="49"/>
        <v>1</v>
      </c>
    </row>
    <row r="417" spans="4:15" x14ac:dyDescent="0.2">
      <c r="D417" s="86">
        <v>44271</v>
      </c>
      <c r="E417" s="64">
        <f t="shared" si="45"/>
        <v>1651</v>
      </c>
      <c r="F417" s="101">
        <v>1651</v>
      </c>
      <c r="G417" s="140"/>
      <c r="H417" s="64">
        <f>E417/'Erkrankungs- und Strukturdaten'!$C$7</f>
        <v>3001.8181818181815</v>
      </c>
      <c r="I417" s="64">
        <f t="shared" si="46"/>
        <v>574986</v>
      </c>
      <c r="J417" s="64">
        <f t="shared" si="47"/>
        <v>0</v>
      </c>
      <c r="K417" s="101">
        <f>IFERROR(IF(D417=_Datum,Prognoseparameter!$C$14,
IF(_WachstumsrateKURZ="Bundesweit",IF(D417&gt;_Datum,
         K416+AVERAGE(F413:F416)*(1+_WR)*(1-(K416-VLOOKUP('Erkrankungs- und Strukturdaten'!$C$45,$D:$M,$K$1,FALSE))/$B$16),
         K418-$B$23*F418),
IF(D417&gt;_Datum,K416+G417,IF(G418="",K418/(K418^(1/N417)),K418-G418)))),"")</f>
        <v>0</v>
      </c>
      <c r="L417" s="64">
        <f>I417/'Erkrankungs- und Strukturdaten'!$C$7</f>
        <v>1045429.0909090908</v>
      </c>
      <c r="M417" s="65">
        <f t="shared" si="48"/>
        <v>2.8796427917360703E-3</v>
      </c>
      <c r="N417" s="163">
        <v>217</v>
      </c>
      <c r="O417" s="222">
        <f t="shared" si="49"/>
        <v>1</v>
      </c>
    </row>
    <row r="418" spans="4:15" x14ac:dyDescent="0.2">
      <c r="D418" s="86">
        <v>44272</v>
      </c>
      <c r="E418" s="64">
        <f t="shared" si="45"/>
        <v>1826</v>
      </c>
      <c r="F418" s="101">
        <v>1826</v>
      </c>
      <c r="G418" s="140"/>
      <c r="H418" s="64">
        <f>E418/'Erkrankungs- und Strukturdaten'!$C$7</f>
        <v>3319.9999999999995</v>
      </c>
      <c r="I418" s="64">
        <f t="shared" si="46"/>
        <v>576812</v>
      </c>
      <c r="J418" s="64">
        <f t="shared" si="47"/>
        <v>0</v>
      </c>
      <c r="K418" s="101">
        <f>IFERROR(IF(D418=_Datum,Prognoseparameter!$C$14,
IF(_WachstumsrateKURZ="Bundesweit",IF(D418&gt;_Datum,
         K417+AVERAGE(F414:F417)*(1+_WR)*(1-(K417-VLOOKUP('Erkrankungs- und Strukturdaten'!$C$45,$D:$M,$K$1,FALSE))/$B$16),
         K419-$B$23*F419),
IF(D418&gt;_Datum,K417+G418,IF(G419="",K419/(K419^(1/N418)),K419-G419)))),"")</f>
        <v>0</v>
      </c>
      <c r="L418" s="64">
        <f>I418/'Erkrankungs- und Strukturdaten'!$C$7</f>
        <v>1048749.0909090908</v>
      </c>
      <c r="M418" s="65">
        <f t="shared" si="48"/>
        <v>3.1757294960225117E-3</v>
      </c>
      <c r="N418" s="163">
        <v>217</v>
      </c>
      <c r="O418" s="222">
        <f t="shared" si="49"/>
        <v>1</v>
      </c>
    </row>
    <row r="419" spans="4:15" x14ac:dyDescent="0.2">
      <c r="D419" s="86">
        <v>44273</v>
      </c>
      <c r="E419" s="64">
        <f t="shared" si="45"/>
        <v>1647</v>
      </c>
      <c r="F419" s="101">
        <v>1647</v>
      </c>
      <c r="G419" s="140"/>
      <c r="H419" s="64">
        <f>E419/'Erkrankungs- und Strukturdaten'!$C$7</f>
        <v>2994.5454545454545</v>
      </c>
      <c r="I419" s="64">
        <f t="shared" si="46"/>
        <v>578459</v>
      </c>
      <c r="J419" s="64">
        <f t="shared" si="47"/>
        <v>0</v>
      </c>
      <c r="K419" s="101">
        <f>IFERROR(IF(D419=_Datum,Prognoseparameter!$C$14,
IF(_WachstumsrateKURZ="Bundesweit",IF(D419&gt;_Datum,
         K418+AVERAGE(F415:F418)*(1+_WR)*(1-(K418-VLOOKUP('Erkrankungs- und Strukturdaten'!$C$45,$D:$M,$K$1,FALSE))/$B$16),
         K420-$B$23*F420),
IF(D419&gt;_Datum,K418+G419,IF(G420="",K420/(K420^(1/N419)),K420-G420)))),"")</f>
        <v>0</v>
      </c>
      <c r="L419" s="64">
        <f>I419/'Erkrankungs- und Strukturdaten'!$C$7</f>
        <v>1051743.6363636362</v>
      </c>
      <c r="M419" s="65">
        <f t="shared" si="48"/>
        <v>2.8553497500052008E-3</v>
      </c>
      <c r="N419" s="163">
        <v>217</v>
      </c>
      <c r="O419" s="222">
        <f t="shared" si="49"/>
        <v>1</v>
      </c>
    </row>
    <row r="420" spans="4:15" x14ac:dyDescent="0.2">
      <c r="D420" s="86">
        <v>44274</v>
      </c>
      <c r="E420" s="64">
        <f t="shared" si="45"/>
        <v>1544</v>
      </c>
      <c r="F420" s="101">
        <v>1544</v>
      </c>
      <c r="G420" s="140"/>
      <c r="H420" s="64">
        <f>E420/'Erkrankungs- und Strukturdaten'!$C$7</f>
        <v>2807.272727272727</v>
      </c>
      <c r="I420" s="64">
        <f t="shared" si="46"/>
        <v>580003</v>
      </c>
      <c r="J420" s="64">
        <f t="shared" si="47"/>
        <v>0</v>
      </c>
      <c r="K420" s="101">
        <f>IFERROR(IF(D420=_Datum,Prognoseparameter!$C$14,
IF(_WachstumsrateKURZ="Bundesweit",IF(D420&gt;_Datum,
         K419+AVERAGE(F416:F419)*(1+_WR)*(1-(K419-VLOOKUP('Erkrankungs- und Strukturdaten'!$C$45,$D:$M,$K$1,FALSE))/$B$16),
         K421-$B$23*F421),
IF(D420&gt;_Datum,K419+G420,IF(G421="",K421/(K421^(1/N420)),K421-G421)))),"")</f>
        <v>0</v>
      </c>
      <c r="L420" s="64">
        <f>I420/'Erkrankungs- und Strukturdaten'!$C$7</f>
        <v>1054550.9090909089</v>
      </c>
      <c r="M420" s="65">
        <f t="shared" si="48"/>
        <v>2.6691606492422106E-3</v>
      </c>
      <c r="N420" s="163">
        <v>217</v>
      </c>
      <c r="O420" s="222">
        <f t="shared" si="49"/>
        <v>1</v>
      </c>
    </row>
    <row r="421" spans="4:15" x14ac:dyDescent="0.2">
      <c r="D421" s="86">
        <v>44275</v>
      </c>
      <c r="E421" s="64">
        <f t="shared" si="45"/>
        <v>1110</v>
      </c>
      <c r="F421" s="101">
        <v>1110</v>
      </c>
      <c r="G421" s="140"/>
      <c r="H421" s="64">
        <f>E421/'Erkrankungs- und Strukturdaten'!$C$7</f>
        <v>2018.181818181818</v>
      </c>
      <c r="I421" s="64">
        <f t="shared" si="46"/>
        <v>581113</v>
      </c>
      <c r="J421" s="64">
        <f t="shared" si="47"/>
        <v>0</v>
      </c>
      <c r="K421" s="101">
        <f>IFERROR(IF(D421=_Datum,Prognoseparameter!$C$14,
IF(_WachstumsrateKURZ="Bundesweit",IF(D421&gt;_Datum,
         K420+AVERAGE(F417:F420)*(1+_WR)*(1-(K420-VLOOKUP('Erkrankungs- und Strukturdaten'!$C$45,$D:$M,$K$1,FALSE))/$B$16),
         K422-$B$23*F422),
IF(D421&gt;_Datum,K420+G421,IF(G422="",K422/(K422^(1/N421)),K422-G422)))),"")</f>
        <v>0</v>
      </c>
      <c r="L421" s="64">
        <f>I421/'Erkrankungs- und Strukturdaten'!$C$7</f>
        <v>1056569.0909090908</v>
      </c>
      <c r="M421" s="65">
        <f t="shared" si="48"/>
        <v>1.9137832045696315E-3</v>
      </c>
      <c r="N421" s="163">
        <v>217</v>
      </c>
      <c r="O421" s="222">
        <f t="shared" si="49"/>
        <v>1</v>
      </c>
    </row>
    <row r="422" spans="4:15" x14ac:dyDescent="0.2">
      <c r="D422" s="86">
        <v>44276</v>
      </c>
      <c r="E422" s="64">
        <f t="shared" si="45"/>
        <v>787</v>
      </c>
      <c r="F422" s="101">
        <v>787</v>
      </c>
      <c r="G422" s="140"/>
      <c r="H422" s="64">
        <f>E422/'Erkrankungs- und Strukturdaten'!$C$7</f>
        <v>1430.9090909090908</v>
      </c>
      <c r="I422" s="64">
        <f t="shared" si="46"/>
        <v>581900</v>
      </c>
      <c r="J422" s="64">
        <f t="shared" si="47"/>
        <v>0</v>
      </c>
      <c r="K422" s="101">
        <f>IFERROR(IF(D422=_Datum,Prognoseparameter!$C$14,
IF(_WachstumsrateKURZ="Bundesweit",IF(D422&gt;_Datum,
         K421+AVERAGE(F418:F421)*(1+_WR)*(1-(K421-VLOOKUP('Erkrankungs- und Strukturdaten'!$C$45,$D:$M,$K$1,FALSE))/$B$16),
         K423-$B$23*F423),
IF(D422&gt;_Datum,K421+G422,IF(G423="",K423/(K423^(1/N422)),K423-G423)))),"")</f>
        <v>0</v>
      </c>
      <c r="L422" s="64">
        <f>I422/'Erkrankungs- und Strukturdaten'!$C$7</f>
        <v>1058000</v>
      </c>
      <c r="M422" s="65">
        <f t="shared" si="48"/>
        <v>1.3542977011355795E-3</v>
      </c>
      <c r="N422" s="163">
        <v>217</v>
      </c>
      <c r="O422" s="222">
        <f t="shared" si="49"/>
        <v>1</v>
      </c>
    </row>
    <row r="423" spans="4:15" x14ac:dyDescent="0.2">
      <c r="D423" s="86">
        <v>44277</v>
      </c>
      <c r="E423" s="64">
        <f t="shared" si="45"/>
        <v>2263</v>
      </c>
      <c r="F423" s="101">
        <v>2263</v>
      </c>
      <c r="G423" s="140"/>
      <c r="H423" s="64">
        <f>E423/'Erkrankungs- und Strukturdaten'!$C$7</f>
        <v>4114.545454545454</v>
      </c>
      <c r="I423" s="64">
        <f t="shared" si="46"/>
        <v>584163</v>
      </c>
      <c r="J423" s="64">
        <f t="shared" si="47"/>
        <v>0</v>
      </c>
      <c r="K423" s="101">
        <f>IFERROR(IF(D423=_Datum,Prognoseparameter!$C$14,
IF(_WachstumsrateKURZ="Bundesweit",IF(D423&gt;_Datum,
         K422+AVERAGE(F419:F422)*(1+_WR)*(1-(K422-VLOOKUP('Erkrankungs- und Strukturdaten'!$C$45,$D:$M,$K$1,FALSE))/$B$16),
         K424-$B$23*F424),
IF(D423&gt;_Datum,K422+G423,IF(G424="",K424/(K424^(1/N423)),K424-G424)))),"")</f>
        <v>0</v>
      </c>
      <c r="L423" s="64">
        <f>I423/'Erkrankungs- und Strukturdaten'!$C$7</f>
        <v>1062114.5454545454</v>
      </c>
      <c r="M423" s="65">
        <f t="shared" si="48"/>
        <v>3.8889843615741537E-3</v>
      </c>
      <c r="N423" s="163">
        <v>217</v>
      </c>
      <c r="O423" s="222">
        <f t="shared" si="49"/>
        <v>1</v>
      </c>
    </row>
    <row r="424" spans="4:15" x14ac:dyDescent="0.2">
      <c r="D424" s="86">
        <v>44278</v>
      </c>
      <c r="E424" s="64">
        <f t="shared" si="45"/>
        <v>1994</v>
      </c>
      <c r="F424" s="101">
        <v>1994</v>
      </c>
      <c r="G424" s="140"/>
      <c r="H424" s="64">
        <f>E424/'Erkrankungs- und Strukturdaten'!$C$7</f>
        <v>3625.454545454545</v>
      </c>
      <c r="I424" s="64">
        <f t="shared" si="46"/>
        <v>586157</v>
      </c>
      <c r="J424" s="64">
        <f t="shared" si="47"/>
        <v>0</v>
      </c>
      <c r="K424" s="101">
        <f>IFERROR(IF(D424=_Datum,Prognoseparameter!$C$14,
IF(_WachstumsrateKURZ="Bundesweit",IF(D424&gt;_Datum,
         K423+AVERAGE(F420:F423)*(1+_WR)*(1-(K423-VLOOKUP('Erkrankungs- und Strukturdaten'!$C$45,$D:$M,$K$1,FALSE))/$B$16),
         K425-$B$23*F425),
IF(D424&gt;_Datum,K423+G424,IF(G425="",K425/(K425^(1/N424)),K425-G425)))),"")</f>
        <v>0</v>
      </c>
      <c r="L424" s="64">
        <f>I424/'Erkrankungs- und Strukturdaten'!$C$7</f>
        <v>1065740</v>
      </c>
      <c r="M424" s="65">
        <f t="shared" si="48"/>
        <v>3.4134308403647611E-3</v>
      </c>
      <c r="N424" s="163">
        <v>217</v>
      </c>
      <c r="O424" s="222">
        <f t="shared" si="49"/>
        <v>1</v>
      </c>
    </row>
    <row r="425" spans="4:15" x14ac:dyDescent="0.2">
      <c r="D425" s="86">
        <v>44279</v>
      </c>
      <c r="E425" s="64">
        <f t="shared" si="45"/>
        <v>1931</v>
      </c>
      <c r="F425" s="101">
        <v>1931</v>
      </c>
      <c r="G425" s="140"/>
      <c r="H425" s="64">
        <f>E425/'Erkrankungs- und Strukturdaten'!$C$7</f>
        <v>3510.9090909090905</v>
      </c>
      <c r="I425" s="64">
        <f t="shared" si="46"/>
        <v>588088</v>
      </c>
      <c r="J425" s="64">
        <f t="shared" si="47"/>
        <v>0</v>
      </c>
      <c r="K425" s="101">
        <f>IFERROR(IF(D425=_Datum,Prognoseparameter!$C$14,
IF(_WachstumsrateKURZ="Bundesweit",IF(D425&gt;_Datum,
         K424+AVERAGE(F421:F424)*(1+_WR)*(1-(K424-VLOOKUP('Erkrankungs- und Strukturdaten'!$C$45,$D:$M,$K$1,FALSE))/$B$16),
         K426-$B$23*F426),
IF(D425&gt;_Datum,K424+G425,IF(G426="",K426/(K426^(1/N425)),K426-G426)))),"")</f>
        <v>0</v>
      </c>
      <c r="L425" s="64">
        <f>I425/'Erkrankungs- und Strukturdaten'!$C$7</f>
        <v>1069250.9090909089</v>
      </c>
      <c r="M425" s="65">
        <f t="shared" si="48"/>
        <v>3.2943392299332771E-3</v>
      </c>
      <c r="N425" s="163">
        <v>217</v>
      </c>
      <c r="O425" s="222">
        <f t="shared" si="49"/>
        <v>1</v>
      </c>
    </row>
    <row r="426" spans="4:15" x14ac:dyDescent="0.2">
      <c r="D426" s="86">
        <v>44280</v>
      </c>
      <c r="E426" s="64">
        <f t="shared" si="45"/>
        <v>2143</v>
      </c>
      <c r="F426" s="101">
        <v>2143</v>
      </c>
      <c r="G426" s="140"/>
      <c r="H426" s="64">
        <f>E426/'Erkrankungs- und Strukturdaten'!$C$7</f>
        <v>3896.363636363636</v>
      </c>
      <c r="I426" s="64">
        <f t="shared" si="46"/>
        <v>590231</v>
      </c>
      <c r="J426" s="64">
        <f t="shared" si="47"/>
        <v>0</v>
      </c>
      <c r="K426" s="101">
        <f>IFERROR(IF(D426=_Datum,Prognoseparameter!$C$14,
IF(_WachstumsrateKURZ="Bundesweit",IF(D426&gt;_Datum,
         K425+AVERAGE(F422:F425)*(1+_WR)*(1-(K425-VLOOKUP('Erkrankungs- und Strukturdaten'!$C$45,$D:$M,$K$1,FALSE))/$B$16),
         K427-$B$23*F427),
IF(D426&gt;_Datum,K425+G426,IF(G427="",K427/(K427^(1/N426)),K427-G427)))),"")</f>
        <v>0</v>
      </c>
      <c r="L426" s="64">
        <f>I426/'Erkrankungs- und Strukturdaten'!$C$7</f>
        <v>1073147.2727272727</v>
      </c>
      <c r="M426" s="65">
        <f t="shared" si="48"/>
        <v>3.6440124607201641E-3</v>
      </c>
      <c r="N426" s="163">
        <v>217</v>
      </c>
      <c r="O426" s="222">
        <f t="shared" si="49"/>
        <v>1</v>
      </c>
    </row>
    <row r="427" spans="4:15" x14ac:dyDescent="0.2">
      <c r="D427" s="86">
        <v>44281</v>
      </c>
      <c r="E427" s="64">
        <f t="shared" si="45"/>
        <v>1997</v>
      </c>
      <c r="F427" s="101">
        <v>1997</v>
      </c>
      <c r="G427" s="140"/>
      <c r="H427" s="64">
        <f>E427/'Erkrankungs- und Strukturdaten'!$C$7</f>
        <v>3630.9090909090905</v>
      </c>
      <c r="I427" s="64">
        <f t="shared" si="46"/>
        <v>592228</v>
      </c>
      <c r="J427" s="64">
        <f t="shared" si="47"/>
        <v>0</v>
      </c>
      <c r="K427" s="101">
        <f>IFERROR(IF(D427=_Datum,Prognoseparameter!$C$14,
IF(_WachstumsrateKURZ="Bundesweit",IF(D427&gt;_Datum,
         K426+AVERAGE(F423:F426)*(1+_WR)*(1-(K426-VLOOKUP('Erkrankungs- und Strukturdaten'!$C$45,$D:$M,$K$1,FALSE))/$B$16),
         K428-$B$23*F428),
IF(D427&gt;_Datum,K426+G427,IF(G428="",K428/(K428^(1/N427)),K428-G428)))),"")</f>
        <v>0</v>
      </c>
      <c r="L427" s="64">
        <f>I427/'Erkrankungs- und Strukturdaten'!$C$7</f>
        <v>1076778.1818181816</v>
      </c>
      <c r="M427" s="65">
        <f t="shared" si="48"/>
        <v>3.3834210673448191E-3</v>
      </c>
      <c r="N427" s="163">
        <v>217</v>
      </c>
      <c r="O427" s="222">
        <f t="shared" si="49"/>
        <v>1</v>
      </c>
    </row>
    <row r="428" spans="4:15" x14ac:dyDescent="0.2">
      <c r="D428" s="86">
        <v>44282</v>
      </c>
      <c r="E428" s="64">
        <f t="shared" si="45"/>
        <v>1208</v>
      </c>
      <c r="F428" s="101">
        <v>1208</v>
      </c>
      <c r="G428" s="140"/>
      <c r="H428" s="64">
        <f>E428/'Erkrankungs- und Strukturdaten'!$C$7</f>
        <v>2196.363636363636</v>
      </c>
      <c r="I428" s="64">
        <f t="shared" si="46"/>
        <v>593436</v>
      </c>
      <c r="J428" s="64">
        <f t="shared" si="47"/>
        <v>0</v>
      </c>
      <c r="K428" s="101">
        <f>IFERROR(IF(D428=_Datum,Prognoseparameter!$C$14,
IF(_WachstumsrateKURZ="Bundesweit",IF(D428&gt;_Datum,
         K427+AVERAGE(F424:F427)*(1+_WR)*(1-(K427-VLOOKUP('Erkrankungs- und Strukturdaten'!$C$45,$D:$M,$K$1,FALSE))/$B$16),
         K429-$B$23*F429),
IF(D428&gt;_Datum,K427+G428,IF(G429="",K429/(K429^(1/N428)),K429-G429)))),"")</f>
        <v>0</v>
      </c>
      <c r="L428" s="64">
        <f>I428/'Erkrankungs- und Strukturdaten'!$C$7</f>
        <v>1078974.5454545454</v>
      </c>
      <c r="M428" s="65">
        <f t="shared" si="48"/>
        <v>2.0397549592386715E-3</v>
      </c>
      <c r="N428" s="163">
        <v>217</v>
      </c>
      <c r="O428" s="222">
        <f t="shared" si="49"/>
        <v>1</v>
      </c>
    </row>
    <row r="429" spans="4:15" x14ac:dyDescent="0.2">
      <c r="D429" s="86">
        <v>44283</v>
      </c>
      <c r="E429" s="64">
        <f t="shared" si="45"/>
        <v>995</v>
      </c>
      <c r="F429" s="101">
        <v>995</v>
      </c>
      <c r="G429" s="140"/>
      <c r="H429" s="64">
        <f>E429/'Erkrankungs- und Strukturdaten'!$C$7</f>
        <v>1809.090909090909</v>
      </c>
      <c r="I429" s="64">
        <f t="shared" si="46"/>
        <v>594431</v>
      </c>
      <c r="J429" s="64">
        <f t="shared" si="47"/>
        <v>0</v>
      </c>
      <c r="K429" s="101">
        <f>IFERROR(IF(D429=_Datum,Prognoseparameter!$C$14,
IF(_WachstumsrateKURZ="Bundesweit",IF(D429&gt;_Datum,
         K428+AVERAGE(F425:F428)*(1+_WR)*(1-(K428-VLOOKUP('Erkrankungs- und Strukturdaten'!$C$45,$D:$M,$K$1,FALSE))/$B$16),
         K430-$B$23*F430),
IF(D429&gt;_Datum,K428+G429,IF(G430="",K430/(K430^(1/N429)),K430-G430)))),"")</f>
        <v>0</v>
      </c>
      <c r="L429" s="64">
        <f>I429/'Erkrankungs- und Strukturdaten'!$C$7</f>
        <v>1080783.6363636362</v>
      </c>
      <c r="M429" s="65">
        <f t="shared" si="48"/>
        <v>1.6766761706401363E-3</v>
      </c>
      <c r="N429" s="163">
        <v>217</v>
      </c>
      <c r="O429" s="222">
        <f t="shared" si="49"/>
        <v>1</v>
      </c>
    </row>
    <row r="430" spans="4:15" x14ac:dyDescent="0.2">
      <c r="D430" s="86">
        <v>44284</v>
      </c>
      <c r="E430" s="64">
        <f t="shared" si="45"/>
        <v>2531</v>
      </c>
      <c r="F430" s="101">
        <v>2531</v>
      </c>
      <c r="G430" s="140"/>
      <c r="H430" s="64">
        <f>E430/'Erkrankungs- und Strukturdaten'!$C$7</f>
        <v>4601.8181818181811</v>
      </c>
      <c r="I430" s="64">
        <f t="shared" si="46"/>
        <v>596962</v>
      </c>
      <c r="J430" s="64">
        <f t="shared" si="47"/>
        <v>0</v>
      </c>
      <c r="K430" s="101">
        <f>IFERROR(IF(D430=_Datum,Prognoseparameter!$C$14,
IF(_WachstumsrateKURZ="Bundesweit",IF(D430&gt;_Datum,
         K429+AVERAGE(F426:F429)*(1+_WR)*(1-(K429-VLOOKUP('Erkrankungs- und Strukturdaten'!$C$45,$D:$M,$K$1,FALSE))/$B$16),
         K431-$B$23*F431),
IF(D430&gt;_Datum,K429+G430,IF(G431="",K431/(K431^(1/N430)),K431-G431)))),"")</f>
        <v>0</v>
      </c>
      <c r="L430" s="64">
        <f>I430/'Erkrankungs- und Strukturdaten'!$C$7</f>
        <v>1085385.4545454544</v>
      </c>
      <c r="M430" s="65">
        <f t="shared" si="48"/>
        <v>4.2578533084580046E-3</v>
      </c>
      <c r="N430" s="163">
        <v>217</v>
      </c>
      <c r="O430" s="222">
        <f t="shared" si="49"/>
        <v>1</v>
      </c>
    </row>
    <row r="431" spans="4:15" x14ac:dyDescent="0.2">
      <c r="D431" s="86">
        <v>44285</v>
      </c>
      <c r="E431" s="64">
        <f t="shared" si="45"/>
        <v>2093</v>
      </c>
      <c r="F431" s="101">
        <v>2093</v>
      </c>
      <c r="G431" s="140"/>
      <c r="H431" s="64">
        <f>E431/'Erkrankungs- und Strukturdaten'!$C$7</f>
        <v>3805.454545454545</v>
      </c>
      <c r="I431" s="64">
        <f t="shared" si="46"/>
        <v>599055</v>
      </c>
      <c r="J431" s="64">
        <f t="shared" si="47"/>
        <v>0</v>
      </c>
      <c r="K431" s="101">
        <f>IFERROR(IF(D431=_Datum,Prognoseparameter!$C$14,
IF(_WachstumsrateKURZ="Bundesweit",IF(D431&gt;_Datum,
         K430+AVERAGE(F427:F430)*(1+_WR)*(1-(K430-VLOOKUP('Erkrankungs- und Strukturdaten'!$C$45,$D:$M,$K$1,FALSE))/$B$16),
         K432-$B$23*F432),
IF(D431&gt;_Datum,K430+G431,IF(G432="",K432/(K432^(1/N431)),K432-G432)))),"")</f>
        <v>0</v>
      </c>
      <c r="L431" s="64">
        <f>I431/'Erkrankungs- und Strukturdaten'!$C$7</f>
        <v>1089190.9090909089</v>
      </c>
      <c r="M431" s="65">
        <f t="shared" si="48"/>
        <v>3.5060858145074562E-3</v>
      </c>
      <c r="N431" s="163">
        <v>217</v>
      </c>
      <c r="O431" s="222">
        <f t="shared" si="49"/>
        <v>1</v>
      </c>
    </row>
    <row r="432" spans="4:15" x14ac:dyDescent="0.2">
      <c r="D432" s="86">
        <v>44286</v>
      </c>
      <c r="E432" s="64">
        <f t="shared" si="45"/>
        <v>2132</v>
      </c>
      <c r="F432" s="101">
        <v>2132</v>
      </c>
      <c r="G432" s="140"/>
      <c r="H432" s="64">
        <f>E432/'Erkrankungs- und Strukturdaten'!$C$7</f>
        <v>3876.363636363636</v>
      </c>
      <c r="I432" s="64">
        <f t="shared" si="46"/>
        <v>601187</v>
      </c>
      <c r="J432" s="64">
        <f t="shared" si="47"/>
        <v>0</v>
      </c>
      <c r="K432" s="101">
        <f>IFERROR(IF(D432=_Datum,Prognoseparameter!$C$14,
IF(_WachstumsrateKURZ="Bundesweit",IF(D432&gt;_Datum,
         K431+AVERAGE(F428:F431)*(1+_WR)*(1-(K431-VLOOKUP('Erkrankungs- und Strukturdaten'!$C$45,$D:$M,$K$1,FALSE))/$B$16),
         K433-$B$23*F433),
IF(D432&gt;_Datum,K431+G432,IF(G433="",K433/(K433^(1/N432)),K433-G433)))),"")</f>
        <v>0</v>
      </c>
      <c r="L432" s="64">
        <f>I432/'Erkrankungs- und Strukturdaten'!$C$7</f>
        <v>1093067.2727272727</v>
      </c>
      <c r="M432" s="65">
        <f t="shared" si="48"/>
        <v>3.5589386617255509E-3</v>
      </c>
      <c r="N432" s="163">
        <v>217</v>
      </c>
      <c r="O432" s="222">
        <f t="shared" si="49"/>
        <v>1</v>
      </c>
    </row>
    <row r="433" spans="4:15" x14ac:dyDescent="0.2">
      <c r="D433" s="86">
        <v>44287</v>
      </c>
      <c r="E433" s="64">
        <f t="shared" si="45"/>
        <v>1986</v>
      </c>
      <c r="F433" s="101">
        <v>1986</v>
      </c>
      <c r="G433" s="140"/>
      <c r="H433" s="64">
        <f>E433/'Erkrankungs- und Strukturdaten'!$C$7</f>
        <v>3610.9090909090905</v>
      </c>
      <c r="I433" s="64">
        <f t="shared" si="46"/>
        <v>603173</v>
      </c>
      <c r="J433" s="64">
        <f t="shared" si="47"/>
        <v>0</v>
      </c>
      <c r="K433" s="101">
        <f>IFERROR(IF(D433=_Datum,Prognoseparameter!$C$14,
IF(_WachstumsrateKURZ="Bundesweit",IF(D433&gt;_Datum,
         K432+AVERAGE(F429:F432)*(1+_WR)*(1-(K432-VLOOKUP('Erkrankungs- und Strukturdaten'!$C$45,$D:$M,$K$1,FALSE))/$B$16),
         K434-$B$23*F434),
IF(D433&gt;_Datum,K432+G433,IF(G434="",K434/(K434^(1/N433)),K434-G434)))),"")</f>
        <v>0</v>
      </c>
      <c r="L433" s="64">
        <f>I433/'Erkrankungs- und Strukturdaten'!$C$7</f>
        <v>1096678.1818181816</v>
      </c>
      <c r="M433" s="65">
        <f t="shared" si="48"/>
        <v>3.3034646457757734E-3</v>
      </c>
      <c r="N433" s="163">
        <v>217</v>
      </c>
      <c r="O433" s="222">
        <f t="shared" si="49"/>
        <v>1</v>
      </c>
    </row>
    <row r="434" spans="4:15" x14ac:dyDescent="0.2">
      <c r="D434" s="86">
        <v>44288</v>
      </c>
      <c r="E434" s="64">
        <f t="shared" si="45"/>
        <v>1203</v>
      </c>
      <c r="F434" s="101">
        <v>1203</v>
      </c>
      <c r="G434" s="140"/>
      <c r="H434" s="64">
        <f>E434/'Erkrankungs- und Strukturdaten'!$C$7</f>
        <v>2187.272727272727</v>
      </c>
      <c r="I434" s="64">
        <f t="shared" si="46"/>
        <v>604376</v>
      </c>
      <c r="J434" s="64">
        <f t="shared" si="47"/>
        <v>0</v>
      </c>
      <c r="K434" s="101">
        <f>IFERROR(IF(D434=_Datum,Prognoseparameter!$C$14,
IF(_WachstumsrateKURZ="Bundesweit",IF(D434&gt;_Datum,
         K433+AVERAGE(F430:F433)*(1+_WR)*(1-(K433-VLOOKUP('Erkrankungs- und Strukturdaten'!$C$45,$D:$M,$K$1,FALSE))/$B$16),
         K435-$B$23*F435),
IF(D434&gt;_Datum,K433+G434,IF(G435="",K435/(K435^(1/N434)),K435-G435)))),"")</f>
        <v>0</v>
      </c>
      <c r="L434" s="64">
        <f>I434/'Erkrankungs- und Strukturdaten'!$C$7</f>
        <v>1098865.4545454544</v>
      </c>
      <c r="M434" s="65">
        <f t="shared" si="48"/>
        <v>1.9944526694663056E-3</v>
      </c>
      <c r="N434" s="163">
        <v>217</v>
      </c>
      <c r="O434" s="222">
        <f t="shared" si="49"/>
        <v>1</v>
      </c>
    </row>
    <row r="435" spans="4:15" x14ac:dyDescent="0.2">
      <c r="D435" s="86">
        <v>44289</v>
      </c>
      <c r="E435" s="64">
        <f t="shared" si="45"/>
        <v>1317</v>
      </c>
      <c r="F435" s="101">
        <v>1317</v>
      </c>
      <c r="G435" s="140"/>
      <c r="H435" s="64">
        <f>E435/'Erkrankungs- und Strukturdaten'!$C$7</f>
        <v>2394.5454545454545</v>
      </c>
      <c r="I435" s="64">
        <f t="shared" si="46"/>
        <v>605693</v>
      </c>
      <c r="J435" s="64">
        <f t="shared" si="47"/>
        <v>0</v>
      </c>
      <c r="K435" s="101">
        <f>IFERROR(IF(D435=_Datum,Prognoseparameter!$C$14,
IF(_WachstumsrateKURZ="Bundesweit",IF(D435&gt;_Datum,
         K434+AVERAGE(F431:F434)*(1+_WR)*(1-(K434-VLOOKUP('Erkrankungs- und Strukturdaten'!$C$45,$D:$M,$K$1,FALSE))/$B$16),
         K436-$B$23*F436),
IF(D435&gt;_Datum,K434+G435,IF(G436="",K436/(K436^(1/N435)),K436-G436)))),"")</f>
        <v>0</v>
      </c>
      <c r="L435" s="64">
        <f>I435/'Erkrankungs- und Strukturdaten'!$C$7</f>
        <v>1101260</v>
      </c>
      <c r="M435" s="65">
        <f t="shared" si="48"/>
        <v>2.1791070459449085E-3</v>
      </c>
      <c r="N435" s="163">
        <v>217</v>
      </c>
      <c r="O435" s="222">
        <f t="shared" si="49"/>
        <v>1</v>
      </c>
    </row>
    <row r="436" spans="4:15" x14ac:dyDescent="0.2">
      <c r="D436" s="86">
        <v>44290</v>
      </c>
      <c r="E436" s="64">
        <f t="shared" si="45"/>
        <v>1021</v>
      </c>
      <c r="F436" s="101">
        <v>1021</v>
      </c>
      <c r="G436" s="140"/>
      <c r="H436" s="64">
        <f>E436/'Erkrankungs- und Strukturdaten'!$C$7</f>
        <v>1856.3636363636363</v>
      </c>
      <c r="I436" s="64">
        <f t="shared" si="46"/>
        <v>606714</v>
      </c>
      <c r="J436" s="64">
        <f t="shared" si="47"/>
        <v>0</v>
      </c>
      <c r="K436" s="101">
        <f>IFERROR(IF(D436=_Datum,Prognoseparameter!$C$14,
IF(_WachstumsrateKURZ="Bundesweit",IF(D436&gt;_Datum,
         K435+AVERAGE(F432:F435)*(1+_WR)*(1-(K435-VLOOKUP('Erkrankungs- und Strukturdaten'!$C$45,$D:$M,$K$1,FALSE))/$B$16),
         K437-$B$23*F437),
IF(D436&gt;_Datum,K435+G436,IF(G437="",K437/(K437^(1/N436)),K437-G437)))),"")</f>
        <v>0</v>
      </c>
      <c r="L436" s="64">
        <f>I436/'Erkrankungs- und Strukturdaten'!$C$7</f>
        <v>1103116.3636363635</v>
      </c>
      <c r="M436" s="65">
        <f t="shared" si="48"/>
        <v>1.6856724446212851E-3</v>
      </c>
      <c r="N436" s="163">
        <v>217</v>
      </c>
      <c r="O436" s="222">
        <f t="shared" si="49"/>
        <v>1</v>
      </c>
    </row>
    <row r="437" spans="4:15" x14ac:dyDescent="0.2">
      <c r="D437" s="86">
        <v>44291</v>
      </c>
      <c r="E437" s="64">
        <f t="shared" si="45"/>
        <v>1287</v>
      </c>
      <c r="F437" s="101">
        <v>1287</v>
      </c>
      <c r="G437" s="140"/>
      <c r="H437" s="64">
        <f>E437/'Erkrankungs- und Strukturdaten'!$C$7</f>
        <v>2340</v>
      </c>
      <c r="I437" s="64">
        <f t="shared" si="46"/>
        <v>608001</v>
      </c>
      <c r="J437" s="64">
        <f t="shared" si="47"/>
        <v>0</v>
      </c>
      <c r="K437" s="101">
        <f>IFERROR(IF(D437=_Datum,Prognoseparameter!$C$14,
IF(_WachstumsrateKURZ="Bundesweit",IF(D437&gt;_Datum,
         K436+AVERAGE(F433:F436)*(1+_WR)*(1-(K436-VLOOKUP('Erkrankungs- und Strukturdaten'!$C$45,$D:$M,$K$1,FALSE))/$B$16),
         K438-$B$23*F438),
IF(D437&gt;_Datum,K436+G437,IF(G438="",K438/(K438^(1/N437)),K438-G438)))),"")</f>
        <v>0</v>
      </c>
      <c r="L437" s="64">
        <f>I437/'Erkrankungs- und Strukturdaten'!$C$7</f>
        <v>1105456.3636363635</v>
      </c>
      <c r="M437" s="65">
        <f t="shared" si="48"/>
        <v>2.1212630662882349E-3</v>
      </c>
      <c r="N437" s="163">
        <v>217</v>
      </c>
      <c r="O437" s="222">
        <f t="shared" si="49"/>
        <v>1</v>
      </c>
    </row>
    <row r="438" spans="4:15" x14ac:dyDescent="0.2">
      <c r="D438" s="86">
        <v>44292</v>
      </c>
      <c r="E438" s="64">
        <f t="shared" si="45"/>
        <v>2689</v>
      </c>
      <c r="F438" s="101">
        <v>2689</v>
      </c>
      <c r="G438" s="140"/>
      <c r="H438" s="64">
        <f>E438/'Erkrankungs- und Strukturdaten'!$C$7</f>
        <v>4889.090909090909</v>
      </c>
      <c r="I438" s="64">
        <f t="shared" si="46"/>
        <v>610690</v>
      </c>
      <c r="J438" s="64">
        <f t="shared" si="47"/>
        <v>0</v>
      </c>
      <c r="K438" s="101">
        <f>IFERROR(IF(D438=_Datum,Prognoseparameter!$C$14,
IF(_WachstumsrateKURZ="Bundesweit",IF(D438&gt;_Datum,
         K437+AVERAGE(F434:F437)*(1+_WR)*(1-(K437-VLOOKUP('Erkrankungs- und Strukturdaten'!$C$45,$D:$M,$K$1,FALSE))/$B$16),
         K439-$B$23*F439),
IF(D438&gt;_Datum,K437+G438,IF(G439="",K439/(K439^(1/N438)),K439-G439)))),"")</f>
        <v>0</v>
      </c>
      <c r="L438" s="64">
        <f>I438/'Erkrankungs- und Strukturdaten'!$C$7</f>
        <v>1110345.4545454544</v>
      </c>
      <c r="M438" s="65">
        <f t="shared" si="48"/>
        <v>4.4226900942597137E-3</v>
      </c>
      <c r="N438" s="163">
        <v>217</v>
      </c>
      <c r="O438" s="222">
        <f t="shared" si="49"/>
        <v>1</v>
      </c>
    </row>
    <row r="439" spans="4:15" x14ac:dyDescent="0.2">
      <c r="D439" s="86">
        <v>44293</v>
      </c>
      <c r="E439" s="64">
        <f t="shared" si="45"/>
        <v>2388</v>
      </c>
      <c r="F439" s="101">
        <v>2388</v>
      </c>
      <c r="G439" s="140"/>
      <c r="H439" s="64">
        <f>E439/'Erkrankungs- und Strukturdaten'!$C$7</f>
        <v>4341.8181818181811</v>
      </c>
      <c r="I439" s="64">
        <f t="shared" si="46"/>
        <v>613078</v>
      </c>
      <c r="J439" s="64">
        <f t="shared" si="47"/>
        <v>0</v>
      </c>
      <c r="K439" s="101">
        <f>IFERROR(IF(D439=_Datum,Prognoseparameter!$C$14,
IF(_WachstumsrateKURZ="Bundesweit",IF(D439&gt;_Datum,
         K438+AVERAGE(F435:F438)*(1+_WR)*(1-(K438-VLOOKUP('Erkrankungs- und Strukturdaten'!$C$45,$D:$M,$K$1,FALSE))/$B$16),
         K440-$B$23*F440),
IF(D439&gt;_Datum,K438+G439,IF(G440="",K440/(K440^(1/N439)),K440-G440)))),"")</f>
        <v>0</v>
      </c>
      <c r="L439" s="64">
        <f>I439/'Erkrankungs- und Strukturdaten'!$C$7</f>
        <v>1114687.2727272727</v>
      </c>
      <c r="M439" s="65">
        <f t="shared" si="48"/>
        <v>3.9103309371366817E-3</v>
      </c>
      <c r="N439" s="163">
        <v>217</v>
      </c>
      <c r="O439" s="222">
        <f t="shared" si="49"/>
        <v>1</v>
      </c>
    </row>
    <row r="440" spans="4:15" x14ac:dyDescent="0.2">
      <c r="D440" s="86">
        <v>44294</v>
      </c>
      <c r="E440" s="64">
        <f t="shared" si="45"/>
        <v>2490</v>
      </c>
      <c r="F440" s="101">
        <v>2490</v>
      </c>
      <c r="G440" s="140"/>
      <c r="H440" s="64">
        <f>E440/'Erkrankungs- und Strukturdaten'!$C$7</f>
        <v>4527.272727272727</v>
      </c>
      <c r="I440" s="64">
        <f t="shared" si="46"/>
        <v>615568</v>
      </c>
      <c r="J440" s="64">
        <f t="shared" si="47"/>
        <v>0</v>
      </c>
      <c r="K440" s="101">
        <f>IFERROR(IF(D440=_Datum,Prognoseparameter!$C$14,
IF(_WachstumsrateKURZ="Bundesweit",IF(D440&gt;_Datum,
         K439+AVERAGE(F436:F439)*(1+_WR)*(1-(K439-VLOOKUP('Erkrankungs- und Strukturdaten'!$C$45,$D:$M,$K$1,FALSE))/$B$16),
         K441-$B$23*F441),
IF(D440&gt;_Datum,K439+G440,IF(G441="",K441/(K441^(1/N440)),K441-G441)))),"")</f>
        <v>0</v>
      </c>
      <c r="L440" s="64">
        <f>I440/'Erkrankungs- und Strukturdaten'!$C$7</f>
        <v>1119214.5454545454</v>
      </c>
      <c r="M440" s="65">
        <f t="shared" si="48"/>
        <v>4.0614734177380363E-3</v>
      </c>
      <c r="N440" s="163">
        <v>217</v>
      </c>
      <c r="O440" s="222">
        <f t="shared" si="49"/>
        <v>1</v>
      </c>
    </row>
    <row r="441" spans="4:15" x14ac:dyDescent="0.2">
      <c r="D441" s="86">
        <v>44295</v>
      </c>
      <c r="E441" s="64">
        <f t="shared" si="45"/>
        <v>2414</v>
      </c>
      <c r="F441" s="101">
        <v>2414</v>
      </c>
      <c r="G441" s="140"/>
      <c r="H441" s="64">
        <f>E441/'Erkrankungs- und Strukturdaten'!$C$7</f>
        <v>4389.090909090909</v>
      </c>
      <c r="I441" s="64">
        <f t="shared" si="46"/>
        <v>617982</v>
      </c>
      <c r="J441" s="64">
        <f t="shared" si="47"/>
        <v>0</v>
      </c>
      <c r="K441" s="101">
        <f>IFERROR(IF(D441=_Datum,Prognoseparameter!$C$14,
IF(_WachstumsrateKURZ="Bundesweit",IF(D441&gt;_Datum,
         K440+AVERAGE(F437:F440)*(1+_WR)*(1-(K440-VLOOKUP('Erkrankungs- und Strukturdaten'!$C$45,$D:$M,$K$1,FALSE))/$B$16),
         K442-$B$23*F442),
IF(D441&gt;_Datum,K440+G441,IF(G442="",K442/(K442^(1/N441)),K442-G442)))),"")</f>
        <v>0</v>
      </c>
      <c r="L441" s="64">
        <f>I441/'Erkrankungs- und Strukturdaten'!$C$7</f>
        <v>1123603.6363636362</v>
      </c>
      <c r="M441" s="65">
        <f t="shared" si="48"/>
        <v>3.9215813687521117E-3</v>
      </c>
      <c r="N441" s="163">
        <v>217</v>
      </c>
      <c r="O441" s="222">
        <f t="shared" si="49"/>
        <v>1</v>
      </c>
    </row>
    <row r="442" spans="4:15" x14ac:dyDescent="0.2">
      <c r="D442" s="86">
        <v>44296</v>
      </c>
      <c r="E442" s="64">
        <f t="shared" si="45"/>
        <v>1682</v>
      </c>
      <c r="F442" s="101">
        <v>1682</v>
      </c>
      <c r="G442" s="140"/>
      <c r="H442" s="64">
        <f>E442/'Erkrankungs- und Strukturdaten'!$C$7</f>
        <v>3058.181818181818</v>
      </c>
      <c r="I442" s="64">
        <f t="shared" si="46"/>
        <v>619664</v>
      </c>
      <c r="J442" s="64">
        <f t="shared" si="47"/>
        <v>0</v>
      </c>
      <c r="K442" s="101">
        <f>IFERROR(IF(D442=_Datum,Prognoseparameter!$C$14,
IF(_WachstumsrateKURZ="Bundesweit",IF(D442&gt;_Datum,
         K441+AVERAGE(F438:F441)*(1+_WR)*(1-(K441-VLOOKUP('Erkrankungs- und Strukturdaten'!$C$45,$D:$M,$K$1,FALSE))/$B$16),
         K443-$B$23*F443),
IF(D442&gt;_Datum,K441+G442,IF(G443="",K443/(K443^(1/N442)),K443-G443)))),"")</f>
        <v>0</v>
      </c>
      <c r="L442" s="64">
        <f>I442/'Erkrankungs- und Strukturdaten'!$C$7</f>
        <v>1126661.8181818181</v>
      </c>
      <c r="M442" s="65">
        <f t="shared" si="48"/>
        <v>2.721762122521368E-3</v>
      </c>
      <c r="N442" s="163">
        <v>217</v>
      </c>
      <c r="O442" s="222">
        <f t="shared" si="49"/>
        <v>1</v>
      </c>
    </row>
    <row r="443" spans="4:15" x14ac:dyDescent="0.2">
      <c r="D443" s="86">
        <v>44297</v>
      </c>
      <c r="E443" s="64">
        <f t="shared" si="45"/>
        <v>1179</v>
      </c>
      <c r="F443" s="101">
        <v>1179</v>
      </c>
      <c r="G443" s="140"/>
      <c r="H443" s="64">
        <f>E443/'Erkrankungs- und Strukturdaten'!$C$7</f>
        <v>2143.6363636363635</v>
      </c>
      <c r="I443" s="64">
        <f t="shared" si="46"/>
        <v>620843</v>
      </c>
      <c r="J443" s="64">
        <f t="shared" si="47"/>
        <v>0</v>
      </c>
      <c r="K443" s="101">
        <f>IFERROR(IF(D443=_Datum,Prognoseparameter!$C$14,
IF(_WachstumsrateKURZ="Bundesweit",IF(D443&gt;_Datum,
         K442+AVERAGE(F439:F442)*(1+_WR)*(1-(K442-VLOOKUP('Erkrankungs- und Strukturdaten'!$C$45,$D:$M,$K$1,FALSE))/$B$16),
         K444-$B$23*F444),
IF(D443&gt;_Datum,K442+G443,IF(G444="",K444/(K444^(1/N443)),K444-G444)))),"")</f>
        <v>0</v>
      </c>
      <c r="L443" s="64">
        <f>I443/'Erkrankungs- und Strukturdaten'!$C$7</f>
        <v>1128805.4545454544</v>
      </c>
      <c r="M443" s="65">
        <f t="shared" si="48"/>
        <v>1.9026440135299131E-3</v>
      </c>
      <c r="N443" s="163">
        <v>217</v>
      </c>
      <c r="O443" s="222">
        <f t="shared" si="49"/>
        <v>1</v>
      </c>
    </row>
    <row r="444" spans="4:15" x14ac:dyDescent="0.2">
      <c r="D444" s="86">
        <v>44298</v>
      </c>
      <c r="E444" s="64">
        <f t="shared" si="45"/>
        <v>2744</v>
      </c>
      <c r="F444" s="101">
        <v>2744</v>
      </c>
      <c r="G444" s="140"/>
      <c r="H444" s="64">
        <f>E444/'Erkrankungs- und Strukturdaten'!$C$7</f>
        <v>4989.090909090909</v>
      </c>
      <c r="I444" s="64">
        <f t="shared" si="46"/>
        <v>623587</v>
      </c>
      <c r="J444" s="64">
        <f t="shared" si="47"/>
        <v>0</v>
      </c>
      <c r="K444" s="101">
        <f>IFERROR(IF(D444=_Datum,Prognoseparameter!$C$14,
IF(_WachstumsrateKURZ="Bundesweit",IF(D444&gt;_Datum,
         K443+AVERAGE(F440:F443)*(1+_WR)*(1-(K443-VLOOKUP('Erkrankungs- und Strukturdaten'!$C$45,$D:$M,$K$1,FALSE))/$B$16),
         K445-$B$23*F445),
IF(D444&gt;_Datum,K443+G444,IF(G445="",K445/(K445^(1/N444)),K445-G445)))),"")</f>
        <v>0</v>
      </c>
      <c r="L444" s="64">
        <f>I444/'Erkrankungs- und Strukturdaten'!$C$7</f>
        <v>1133794.5454545454</v>
      </c>
      <c r="M444" s="65">
        <f t="shared" si="48"/>
        <v>4.4197969534971E-3</v>
      </c>
      <c r="N444" s="163">
        <v>217</v>
      </c>
      <c r="O444" s="222">
        <f t="shared" si="49"/>
        <v>1</v>
      </c>
    </row>
    <row r="445" spans="4:15" x14ac:dyDescent="0.2">
      <c r="D445" s="86">
        <v>44299</v>
      </c>
      <c r="E445" s="64">
        <f t="shared" si="45"/>
        <v>2376</v>
      </c>
      <c r="F445" s="101">
        <v>2376</v>
      </c>
      <c r="G445" s="140"/>
      <c r="H445" s="64">
        <f>E445/'Erkrankungs- und Strukturdaten'!$C$7</f>
        <v>4320</v>
      </c>
      <c r="I445" s="64">
        <f t="shared" si="46"/>
        <v>625963</v>
      </c>
      <c r="J445" s="64">
        <f t="shared" si="47"/>
        <v>0</v>
      </c>
      <c r="K445" s="101">
        <f>IFERROR(IF(D445=_Datum,Prognoseparameter!$C$14,
IF(_WachstumsrateKURZ="Bundesweit",IF(D445&gt;_Datum,
         K444+AVERAGE(F441:F444)*(1+_WR)*(1-(K444-VLOOKUP('Erkrankungs- und Strukturdaten'!$C$45,$D:$M,$K$1,FALSE))/$B$16),
         K446-$B$23*F446),
IF(D445&gt;_Datum,K444+G445,IF(G446="",K446/(K446^(1/N445)),K446-G446)))),"")</f>
        <v>0</v>
      </c>
      <c r="L445" s="64">
        <f>I445/'Erkrankungs- und Strukturdaten'!$C$7</f>
        <v>1138114.5454545454</v>
      </c>
      <c r="M445" s="65">
        <f t="shared" si="48"/>
        <v>3.810214132109874E-3</v>
      </c>
      <c r="N445" s="163">
        <v>217</v>
      </c>
      <c r="O445" s="222">
        <f t="shared" si="49"/>
        <v>1</v>
      </c>
    </row>
    <row r="446" spans="4:15" x14ac:dyDescent="0.2">
      <c r="D446" s="86">
        <v>44300</v>
      </c>
      <c r="E446" s="64">
        <f t="shared" si="45"/>
        <v>2211</v>
      </c>
      <c r="F446" s="101">
        <v>2211</v>
      </c>
      <c r="G446" s="140"/>
      <c r="H446" s="64">
        <f>E446/'Erkrankungs- und Strukturdaten'!$C$7</f>
        <v>4019.9999999999995</v>
      </c>
      <c r="I446" s="64">
        <f t="shared" si="46"/>
        <v>628174</v>
      </c>
      <c r="J446" s="64">
        <f t="shared" si="47"/>
        <v>0</v>
      </c>
      <c r="K446" s="101">
        <f>IFERROR(IF(D446=_Datum,Prognoseparameter!$C$14,
IF(_WachstumsrateKURZ="Bundesweit",IF(D446&gt;_Datum,
         K445+AVERAGE(F442:F445)*(1+_WR)*(1-(K445-VLOOKUP('Erkrankungs- und Strukturdaten'!$C$45,$D:$M,$K$1,FALSE))/$B$16),
         K447-$B$23*F447),
IF(D446&gt;_Datum,K445+G446,IF(G447="",K447/(K447^(1/N446)),K447-G447)))),"")</f>
        <v>0</v>
      </c>
      <c r="L446" s="64">
        <f>I446/'Erkrankungs- und Strukturdaten'!$C$7</f>
        <v>1142134.5454545454</v>
      </c>
      <c r="M446" s="65">
        <f t="shared" si="48"/>
        <v>3.5321576514905834E-3</v>
      </c>
      <c r="N446" s="163">
        <v>217</v>
      </c>
      <c r="O446" s="222">
        <f t="shared" si="49"/>
        <v>1</v>
      </c>
    </row>
    <row r="447" spans="4:15" x14ac:dyDescent="0.2">
      <c r="D447" s="86">
        <v>44301</v>
      </c>
      <c r="E447" s="64">
        <f t="shared" si="45"/>
        <v>2147</v>
      </c>
      <c r="F447" s="101">
        <v>2147</v>
      </c>
      <c r="G447" s="140"/>
      <c r="H447" s="64">
        <f>E447/'Erkrankungs- und Strukturdaten'!$C$7</f>
        <v>3903.6363636363635</v>
      </c>
      <c r="I447" s="64">
        <f t="shared" si="46"/>
        <v>630321</v>
      </c>
      <c r="J447" s="64">
        <f t="shared" si="47"/>
        <v>0</v>
      </c>
      <c r="K447" s="101">
        <f>IFERROR(IF(D447=_Datum,Prognoseparameter!$C$14,
IF(_WachstumsrateKURZ="Bundesweit",IF(D447&gt;_Datum,
         K446+AVERAGE(F443:F446)*(1+_WR)*(1-(K446-VLOOKUP('Erkrankungs- und Strukturdaten'!$C$45,$D:$M,$K$1,FALSE))/$B$16),
         K448-$B$23*F448),
IF(D447&gt;_Datum,K446+G447,IF(G448="",K448/(K448^(1/N447)),K448-G448)))),"")</f>
        <v>0</v>
      </c>
      <c r="L447" s="64">
        <f>I447/'Erkrankungs- und Strukturdaten'!$C$7</f>
        <v>1146038.1818181816</v>
      </c>
      <c r="M447" s="65">
        <f t="shared" si="48"/>
        <v>3.4178428269874273E-3</v>
      </c>
      <c r="N447" s="163">
        <v>217</v>
      </c>
      <c r="O447" s="222">
        <f t="shared" si="49"/>
        <v>1</v>
      </c>
    </row>
    <row r="448" spans="4:15" x14ac:dyDescent="0.2">
      <c r="D448" s="86">
        <v>44302</v>
      </c>
      <c r="E448" s="64">
        <f t="shared" si="45"/>
        <v>2117</v>
      </c>
      <c r="F448" s="101">
        <v>2117</v>
      </c>
      <c r="G448" s="140"/>
      <c r="H448" s="64">
        <f>E448/'Erkrankungs- und Strukturdaten'!$C$7</f>
        <v>3849.0909090909086</v>
      </c>
      <c r="I448" s="64">
        <f t="shared" si="46"/>
        <v>632438</v>
      </c>
      <c r="J448" s="64">
        <f t="shared" si="47"/>
        <v>0</v>
      </c>
      <c r="K448" s="101">
        <f>IFERROR(IF(D448=_Datum,Prognoseparameter!$C$14,
IF(_WachstumsrateKURZ="Bundesweit",IF(D448&gt;_Datum,
         K447+AVERAGE(F444:F447)*(1+_WR)*(1-(K447-VLOOKUP('Erkrankungs- und Strukturdaten'!$C$45,$D:$M,$K$1,FALSE))/$B$16),
         K449-$B$23*F449),
IF(D448&gt;_Datum,K447+G448,IF(G449="",K449/(K449^(1/N448)),K449-G449)))),"")</f>
        <v>0</v>
      </c>
      <c r="L448" s="64">
        <f>I448/'Erkrankungs- und Strukturdaten'!$C$7</f>
        <v>1149887.2727272727</v>
      </c>
      <c r="M448" s="65">
        <f t="shared" si="48"/>
        <v>3.3586061705067737E-3</v>
      </c>
      <c r="N448" s="163">
        <v>217</v>
      </c>
      <c r="O448" s="222">
        <f t="shared" si="49"/>
        <v>1</v>
      </c>
    </row>
    <row r="449" spans="4:15" x14ac:dyDescent="0.2">
      <c r="D449" s="86">
        <v>44303</v>
      </c>
      <c r="E449" s="64">
        <f t="shared" si="45"/>
        <v>1429</v>
      </c>
      <c r="F449" s="101">
        <v>1429</v>
      </c>
      <c r="G449" s="140"/>
      <c r="H449" s="64">
        <f>E449/'Erkrankungs- und Strukturdaten'!$C$7</f>
        <v>2598.181818181818</v>
      </c>
      <c r="I449" s="64">
        <f t="shared" si="46"/>
        <v>633867</v>
      </c>
      <c r="J449" s="64">
        <f t="shared" si="47"/>
        <v>0</v>
      </c>
      <c r="K449" s="101">
        <f>IFERROR(IF(D449=_Datum,Prognoseparameter!$C$14,
IF(_WachstumsrateKURZ="Bundesweit",IF(D449&gt;_Datum,
         K448+AVERAGE(F445:F448)*(1+_WR)*(1-(K448-VLOOKUP('Erkrankungs- und Strukturdaten'!$C$45,$D:$M,$K$1,FALSE))/$B$16),
         K450-$B$23*F450),
IF(D449&gt;_Datum,K448+G449,IF(G450="",K450/(K450^(1/N449)),K450-G450)))),"")</f>
        <v>0</v>
      </c>
      <c r="L449" s="64">
        <f>I449/'Erkrankungs- und Strukturdaten'!$C$7</f>
        <v>1152485.4545454544</v>
      </c>
      <c r="M449" s="65">
        <f t="shared" si="48"/>
        <v>2.2595100231168905E-3</v>
      </c>
      <c r="N449" s="163">
        <v>217</v>
      </c>
      <c r="O449" s="222">
        <f t="shared" si="49"/>
        <v>1</v>
      </c>
    </row>
    <row r="450" spans="4:15" x14ac:dyDescent="0.2">
      <c r="D450" s="86">
        <v>44304</v>
      </c>
      <c r="E450" s="64">
        <f t="shared" si="45"/>
        <v>1047</v>
      </c>
      <c r="F450" s="101">
        <v>1047</v>
      </c>
      <c r="G450" s="140"/>
      <c r="H450" s="64">
        <f>E450/'Erkrankungs- und Strukturdaten'!$C$7</f>
        <v>1903.6363636363635</v>
      </c>
      <c r="I450" s="64">
        <f t="shared" si="46"/>
        <v>634914</v>
      </c>
      <c r="J450" s="64">
        <f t="shared" si="47"/>
        <v>0</v>
      </c>
      <c r="K450" s="101">
        <f>IFERROR(IF(D450=_Datum,Prognoseparameter!$C$14,
IF(_WachstumsrateKURZ="Bundesweit",IF(D450&gt;_Datum,
         K449+AVERAGE(F446:F449)*(1+_WR)*(1-(K449-VLOOKUP('Erkrankungs- und Strukturdaten'!$C$45,$D:$M,$K$1,FALSE))/$B$16),
         K451-$B$23*F451),
IF(D450&gt;_Datum,K449+G450,IF(G451="",K451/(K451^(1/N450)),K451-G451)))),"")</f>
        <v>0</v>
      </c>
      <c r="L450" s="64">
        <f>I450/'Erkrankungs- und Strukturdaten'!$C$7</f>
        <v>1154389.0909090908</v>
      </c>
      <c r="M450" s="65">
        <f t="shared" si="48"/>
        <v>1.6517660644898694E-3</v>
      </c>
      <c r="N450" s="163">
        <v>217</v>
      </c>
      <c r="O450" s="222">
        <f t="shared" si="49"/>
        <v>1</v>
      </c>
    </row>
    <row r="451" spans="4:15" x14ac:dyDescent="0.2">
      <c r="D451" s="86">
        <v>44305</v>
      </c>
      <c r="E451" s="64">
        <f t="shared" si="45"/>
        <v>2744</v>
      </c>
      <c r="F451" s="101">
        <v>2744</v>
      </c>
      <c r="G451" s="140"/>
      <c r="H451" s="64">
        <f>E451/'Erkrankungs- und Strukturdaten'!$C$7</f>
        <v>4989.090909090909</v>
      </c>
      <c r="I451" s="64">
        <f t="shared" si="46"/>
        <v>637658</v>
      </c>
      <c r="J451" s="64">
        <f t="shared" si="47"/>
        <v>0</v>
      </c>
      <c r="K451" s="101">
        <f>IFERROR(IF(D451=_Datum,Prognoseparameter!$C$14,
IF(_WachstumsrateKURZ="Bundesweit",IF(D451&gt;_Datum,
         K450+AVERAGE(F447:F450)*(1+_WR)*(1-(K450-VLOOKUP('Erkrankungs- und Strukturdaten'!$C$45,$D:$M,$K$1,FALSE))/$B$16),
         K452-$B$23*F452),
IF(D451&gt;_Datum,K450+G451,IF(G452="",K452/(K452^(1/N451)),K452-G452)))),"")</f>
        <v>0</v>
      </c>
      <c r="L451" s="64">
        <f>I451/'Erkrankungs- und Strukturdaten'!$C$7</f>
        <v>1159378.1818181816</v>
      </c>
      <c r="M451" s="65">
        <f t="shared" si="48"/>
        <v>4.321845163281956E-3</v>
      </c>
      <c r="N451" s="163">
        <v>217</v>
      </c>
      <c r="O451" s="222">
        <f t="shared" si="49"/>
        <v>1</v>
      </c>
    </row>
    <row r="452" spans="4:15" x14ac:dyDescent="0.2">
      <c r="D452" s="86">
        <v>44306</v>
      </c>
      <c r="E452" s="64">
        <f t="shared" ref="E452:E515" si="50">IF(_AusgangswertKURZ="Bevölkerungsanteil",
$B$26*IF(F452=ROUNDDOWN(F452,0),F452,F452*VLOOKUP(WEEKDAY($D452,1),$A$51:$B$57,$B$1,FALSE)),
$B$17*IF(G452=ROUNDDOWN(G452,0),G452,G452*VLOOKUP(WEEKDAY($D452,1),$A$51:$B$57,$B$1,FALSE)))</f>
        <v>2388</v>
      </c>
      <c r="F452" s="101">
        <v>2388</v>
      </c>
      <c r="G452" s="140"/>
      <c r="H452" s="64">
        <f>E452/'Erkrankungs- und Strukturdaten'!$C$7</f>
        <v>4341.8181818181811</v>
      </c>
      <c r="I452" s="64">
        <f t="shared" si="46"/>
        <v>640046</v>
      </c>
      <c r="J452" s="64">
        <f t="shared" si="47"/>
        <v>0</v>
      </c>
      <c r="K452" s="101">
        <f>IFERROR(IF(D452=_Datum,Prognoseparameter!$C$14,
IF(_WachstumsrateKURZ="Bundesweit",IF(D452&gt;_Datum,
         K451+AVERAGE(F448:F451)*(1+_WR)*(1-(K451-VLOOKUP('Erkrankungs- und Strukturdaten'!$C$45,$D:$M,$K$1,FALSE))/$B$16),
         K453-$B$23*F453),
IF(D452&gt;_Datum,K451+G452,IF(G453="",K453/(K453^(1/N452)),K453-G453)))),"")</f>
        <v>0</v>
      </c>
      <c r="L452" s="64">
        <f>I452/'Erkrankungs- und Strukturdaten'!$C$7</f>
        <v>1163720</v>
      </c>
      <c r="M452" s="65">
        <f t="shared" si="48"/>
        <v>3.7449541917454186E-3</v>
      </c>
      <c r="N452" s="163">
        <v>217</v>
      </c>
      <c r="O452" s="222">
        <f t="shared" si="49"/>
        <v>1</v>
      </c>
    </row>
    <row r="453" spans="4:15" x14ac:dyDescent="0.2">
      <c r="D453" s="86">
        <v>44307</v>
      </c>
      <c r="E453" s="64">
        <f t="shared" si="50"/>
        <v>2308</v>
      </c>
      <c r="F453" s="101">
        <v>2308</v>
      </c>
      <c r="G453" s="140"/>
      <c r="H453" s="64">
        <f>E453/'Erkrankungs- und Strukturdaten'!$C$7</f>
        <v>4196.363636363636</v>
      </c>
      <c r="I453" s="64">
        <f t="shared" si="46"/>
        <v>642354</v>
      </c>
      <c r="J453" s="64">
        <f t="shared" si="47"/>
        <v>0</v>
      </c>
      <c r="K453" s="101">
        <f>IFERROR(IF(D453=_Datum,Prognoseparameter!$C$14,
IF(_WachstumsrateKURZ="Bundesweit",IF(D453&gt;_Datum,
         K452+AVERAGE(F449:F452)*(1+_WR)*(1-(K452-VLOOKUP('Erkrankungs- und Strukturdaten'!$C$45,$D:$M,$K$1,FALSE))/$B$16),
         K454-$B$23*F454),
IF(D453&gt;_Datum,K452+G453,IF(G454="",K454/(K454^(1/N453)),K454-G454)))),"")</f>
        <v>0</v>
      </c>
      <c r="L453" s="64">
        <f>I453/'Erkrankungs- und Strukturdaten'!$C$7</f>
        <v>1167916.3636363635</v>
      </c>
      <c r="M453" s="65">
        <f t="shared" si="48"/>
        <v>3.605990819409855E-3</v>
      </c>
      <c r="N453" s="163">
        <v>217</v>
      </c>
      <c r="O453" s="222">
        <f t="shared" si="49"/>
        <v>1</v>
      </c>
    </row>
    <row r="454" spans="4:15" x14ac:dyDescent="0.2">
      <c r="D454" s="86">
        <v>44308</v>
      </c>
      <c r="E454" s="64">
        <f t="shared" si="50"/>
        <v>2266</v>
      </c>
      <c r="F454" s="101">
        <v>2266</v>
      </c>
      <c r="G454" s="140"/>
      <c r="H454" s="64">
        <f>E454/'Erkrankungs- und Strukturdaten'!$C$7</f>
        <v>4120</v>
      </c>
      <c r="I454" s="64">
        <f t="shared" ref="I454:I517" si="51">I453+F454</f>
        <v>644620</v>
      </c>
      <c r="J454" s="64">
        <f t="shared" si="47"/>
        <v>0</v>
      </c>
      <c r="K454" s="101">
        <f>IFERROR(IF(D454=_Datum,Prognoseparameter!$C$14,
IF(_WachstumsrateKURZ="Bundesweit",IF(D454&gt;_Datum,
         K453+AVERAGE(F450:F453)*(1+_WR)*(1-(K453-VLOOKUP('Erkrankungs- und Strukturdaten'!$C$45,$D:$M,$K$1,FALSE))/$B$16),
         K455-$B$23*F455),
IF(D454&gt;_Datum,K453+G454,IF(G455="",K455/(K455^(1/N454)),K455-G455)))),"")</f>
        <v>0</v>
      </c>
      <c r="L454" s="64">
        <f>I454/'Erkrankungs- und Strukturdaten'!$C$7</f>
        <v>1172036.3636363635</v>
      </c>
      <c r="M454" s="65">
        <f t="shared" si="48"/>
        <v>3.5276498628482116E-3</v>
      </c>
      <c r="N454" s="163">
        <v>217</v>
      </c>
      <c r="O454" s="222">
        <f t="shared" si="49"/>
        <v>1</v>
      </c>
    </row>
    <row r="455" spans="4:15" x14ac:dyDescent="0.2">
      <c r="D455" s="86">
        <v>44309</v>
      </c>
      <c r="E455" s="64">
        <f t="shared" si="50"/>
        <v>2166</v>
      </c>
      <c r="F455" s="101">
        <v>2166</v>
      </c>
      <c r="G455" s="140"/>
      <c r="H455" s="64">
        <f>E455/'Erkrankungs- und Strukturdaten'!$C$7</f>
        <v>3938.181818181818</v>
      </c>
      <c r="I455" s="64">
        <f t="shared" si="51"/>
        <v>646786</v>
      </c>
      <c r="J455" s="64">
        <f t="shared" si="47"/>
        <v>0</v>
      </c>
      <c r="K455" s="101">
        <f>IFERROR(IF(D455=_Datum,Prognoseparameter!$C$14,
IF(_WachstumsrateKURZ="Bundesweit",IF(D455&gt;_Datum,
         K454+AVERAGE(F451:F454)*(1+_WR)*(1-(K454-VLOOKUP('Erkrankungs- und Strukturdaten'!$C$45,$D:$M,$K$1,FALSE))/$B$16),
         K456-$B$23*F456),
IF(D455&gt;_Datum,K454+G455,IF(G456="",K456/(K456^(1/N455)),K456-G456)))),"")</f>
        <v>0</v>
      </c>
      <c r="L455" s="64">
        <f>I455/'Erkrankungs- und Strukturdaten'!$C$7</f>
        <v>1175974.5454545454</v>
      </c>
      <c r="M455" s="65">
        <f t="shared" si="48"/>
        <v>3.360119139958425E-3</v>
      </c>
      <c r="N455" s="163">
        <v>217</v>
      </c>
      <c r="O455" s="222">
        <f t="shared" si="49"/>
        <v>1</v>
      </c>
    </row>
    <row r="456" spans="4:15" x14ac:dyDescent="0.2">
      <c r="D456" s="86">
        <v>44310</v>
      </c>
      <c r="E456" s="64">
        <f t="shared" si="50"/>
        <v>1453</v>
      </c>
      <c r="F456" s="101">
        <v>1453</v>
      </c>
      <c r="G456" s="140"/>
      <c r="H456" s="64">
        <f>E456/'Erkrankungs- und Strukturdaten'!$C$7</f>
        <v>2641.8181818181815</v>
      </c>
      <c r="I456" s="64">
        <f t="shared" si="51"/>
        <v>648239</v>
      </c>
      <c r="J456" s="64">
        <f t="shared" si="47"/>
        <v>0</v>
      </c>
      <c r="K456" s="101">
        <f>IFERROR(IF(D456=_Datum,Prognoseparameter!$C$14,
IF(_WachstumsrateKURZ="Bundesweit",IF(D456&gt;_Datum,
         K455+AVERAGE(F452:F455)*(1+_WR)*(1-(K455-VLOOKUP('Erkrankungs- und Strukturdaten'!$C$45,$D:$M,$K$1,FALSE))/$B$16),
         K457-$B$23*F457),
IF(D456&gt;_Datum,K455+G456,IF(G457="",K457/(K457^(1/N456)),K457-G457)))),"")</f>
        <v>0</v>
      </c>
      <c r="L456" s="64">
        <f>I456/'Erkrankungs- und Strukturdaten'!$C$7</f>
        <v>1178616.3636363635</v>
      </c>
      <c r="M456" s="65">
        <f t="shared" si="48"/>
        <v>2.2464926575405156E-3</v>
      </c>
      <c r="N456" s="163">
        <v>217</v>
      </c>
      <c r="O456" s="222">
        <f t="shared" si="49"/>
        <v>1</v>
      </c>
    </row>
    <row r="457" spans="4:15" x14ac:dyDescent="0.2">
      <c r="D457" s="86">
        <v>44311</v>
      </c>
      <c r="E457" s="64">
        <f t="shared" si="50"/>
        <v>1187</v>
      </c>
      <c r="F457" s="101">
        <v>1187</v>
      </c>
      <c r="G457" s="140"/>
      <c r="H457" s="64">
        <f>E457/'Erkrankungs- und Strukturdaten'!$C$7</f>
        <v>2158.181818181818</v>
      </c>
      <c r="I457" s="64">
        <f t="shared" si="51"/>
        <v>649426</v>
      </c>
      <c r="J457" s="64">
        <f t="shared" si="47"/>
        <v>0</v>
      </c>
      <c r="K457" s="101">
        <f>IFERROR(IF(D457=_Datum,Prognoseparameter!$C$14,
IF(_WachstumsrateKURZ="Bundesweit",IF(D457&gt;_Datum,
         K456+AVERAGE(F453:F456)*(1+_WR)*(1-(K456-VLOOKUP('Erkrankungs- und Strukturdaten'!$C$45,$D:$M,$K$1,FALSE))/$B$16),
         K458-$B$23*F458),
IF(D457&gt;_Datum,K456+G457,IF(G458="",K458/(K458^(1/N457)),K458-G458)))),"")</f>
        <v>0</v>
      </c>
      <c r="L457" s="64">
        <f>I457/'Erkrankungs- und Strukturdaten'!$C$7</f>
        <v>1180774.5454545454</v>
      </c>
      <c r="M457" s="65">
        <f t="shared" si="48"/>
        <v>1.8311147585998375E-3</v>
      </c>
      <c r="N457" s="163">
        <v>217</v>
      </c>
      <c r="O457" s="222">
        <f t="shared" si="49"/>
        <v>1</v>
      </c>
    </row>
    <row r="458" spans="4:15" x14ac:dyDescent="0.2">
      <c r="D458" s="86">
        <v>44312</v>
      </c>
      <c r="E458" s="64">
        <f t="shared" si="50"/>
        <v>2440</v>
      </c>
      <c r="F458" s="101">
        <v>2440</v>
      </c>
      <c r="G458" s="140"/>
      <c r="H458" s="64">
        <f>E458/'Erkrankungs- und Strukturdaten'!$C$7</f>
        <v>4436.363636363636</v>
      </c>
      <c r="I458" s="64">
        <f t="shared" si="51"/>
        <v>651866</v>
      </c>
      <c r="J458" s="64">
        <f t="shared" si="47"/>
        <v>0</v>
      </c>
      <c r="K458" s="101">
        <f>IFERROR(IF(D458=_Datum,Prognoseparameter!$C$14,
IF(_WachstumsrateKURZ="Bundesweit",IF(D458&gt;_Datum,
         K457+AVERAGE(F454:F457)*(1+_WR)*(1-(K457-VLOOKUP('Erkrankungs- und Strukturdaten'!$C$45,$D:$M,$K$1,FALSE))/$B$16),
         K459-$B$23*F459),
IF(D458&gt;_Datum,K457+G458,IF(G459="",K459/(K459^(1/N458)),K459-G459)))),"")</f>
        <v>0</v>
      </c>
      <c r="L458" s="64">
        <f>I458/'Erkrankungs- und Strukturdaten'!$C$7</f>
        <v>1185210.9090909089</v>
      </c>
      <c r="M458" s="65">
        <f t="shared" si="48"/>
        <v>3.7571640186872717E-3</v>
      </c>
      <c r="N458" s="163">
        <v>217</v>
      </c>
      <c r="O458" s="222">
        <f t="shared" si="49"/>
        <v>1</v>
      </c>
    </row>
    <row r="459" spans="4:15" x14ac:dyDescent="0.2">
      <c r="D459" s="86">
        <v>44313</v>
      </c>
      <c r="E459" s="64">
        <f t="shared" si="50"/>
        <v>2038</v>
      </c>
      <c r="F459" s="101">
        <v>2038</v>
      </c>
      <c r="G459" s="140"/>
      <c r="H459" s="64">
        <f>E459/'Erkrankungs- und Strukturdaten'!$C$7</f>
        <v>3705.454545454545</v>
      </c>
      <c r="I459" s="64">
        <f t="shared" si="51"/>
        <v>653904</v>
      </c>
      <c r="J459" s="64">
        <f t="shared" si="47"/>
        <v>0</v>
      </c>
      <c r="K459" s="101">
        <f>IFERROR(IF(D459=_Datum,Prognoseparameter!$C$14,
IF(_WachstumsrateKURZ="Bundesweit",IF(D459&gt;_Datum,
         K458+AVERAGE(F455:F458)*(1+_WR)*(1-(K458-VLOOKUP('Erkrankungs- und Strukturdaten'!$C$45,$D:$M,$K$1,FALSE))/$B$16),
         K460-$B$23*F460),
IF(D459&gt;_Datum,K458+G459,IF(G460="",K460/(K460^(1/N459)),K460-G460)))),"")</f>
        <v>0</v>
      </c>
      <c r="L459" s="64">
        <f>I459/'Erkrankungs- und Strukturdaten'!$C$7</f>
        <v>1188916.3636363635</v>
      </c>
      <c r="M459" s="65">
        <f t="shared" si="48"/>
        <v>3.1264094154320058E-3</v>
      </c>
      <c r="N459" s="163">
        <v>217</v>
      </c>
      <c r="O459" s="222">
        <f t="shared" si="49"/>
        <v>1</v>
      </c>
    </row>
    <row r="460" spans="4:15" x14ac:dyDescent="0.2">
      <c r="D460" s="86">
        <v>44314</v>
      </c>
      <c r="E460" s="64">
        <f t="shared" si="50"/>
        <v>2006</v>
      </c>
      <c r="F460" s="101">
        <v>2006</v>
      </c>
      <c r="G460" s="140"/>
      <c r="H460" s="64">
        <f>E460/'Erkrankungs- und Strukturdaten'!$C$7</f>
        <v>3647.272727272727</v>
      </c>
      <c r="I460" s="64">
        <f t="shared" si="51"/>
        <v>655910</v>
      </c>
      <c r="J460" s="64">
        <f t="shared" si="47"/>
        <v>0</v>
      </c>
      <c r="K460" s="101">
        <f>IFERROR(IF(D460=_Datum,Prognoseparameter!$C$14,
IF(_WachstumsrateKURZ="Bundesweit",IF(D460&gt;_Datum,
         K459+AVERAGE(F456:F459)*(1+_WR)*(1-(K459-VLOOKUP('Erkrankungs- und Strukturdaten'!$C$45,$D:$M,$K$1,FALSE))/$B$16),
         K461-$B$23*F461),
IF(D460&gt;_Datum,K459+G460,IF(G461="",K461/(K461^(1/N460)),K461-G461)))),"")</f>
        <v>0</v>
      </c>
      <c r="L460" s="64">
        <f>I460/'Erkrankungs- und Strukturdaten'!$C$7</f>
        <v>1192563.6363636362</v>
      </c>
      <c r="M460" s="65">
        <f t="shared" si="48"/>
        <v>3.0677285962465439E-3</v>
      </c>
      <c r="N460" s="163">
        <v>217</v>
      </c>
      <c r="O460" s="222">
        <f t="shared" si="49"/>
        <v>1</v>
      </c>
    </row>
    <row r="461" spans="4:15" x14ac:dyDescent="0.2">
      <c r="D461" s="86">
        <v>44315</v>
      </c>
      <c r="E461" s="64">
        <f t="shared" si="50"/>
        <v>1710</v>
      </c>
      <c r="F461" s="101">
        <v>1710</v>
      </c>
      <c r="G461" s="140"/>
      <c r="H461" s="64">
        <f>E461/'Erkrankungs- und Strukturdaten'!$C$7</f>
        <v>3109.090909090909</v>
      </c>
      <c r="I461" s="64">
        <f t="shared" si="51"/>
        <v>657620</v>
      </c>
      <c r="J461" s="64">
        <f t="shared" si="47"/>
        <v>0</v>
      </c>
      <c r="K461" s="101">
        <f>IFERROR(IF(D461=_Datum,Prognoseparameter!$C$14,
IF(_WachstumsrateKURZ="Bundesweit",IF(D461&gt;_Datum,
         K460+AVERAGE(F457:F460)*(1+_WR)*(1-(K460-VLOOKUP('Erkrankungs- und Strukturdaten'!$C$45,$D:$M,$K$1,FALSE))/$B$16),
         K462-$B$23*F462),
IF(D461&gt;_Datum,K460+G461,IF(G462="",K462/(K462^(1/N461)),K462-G462)))),"")</f>
        <v>0</v>
      </c>
      <c r="L461" s="64">
        <f>I461/'Erkrankungs- und Strukturdaten'!$C$7</f>
        <v>1195672.7272727271</v>
      </c>
      <c r="M461" s="65">
        <f t="shared" si="48"/>
        <v>2.6070649936729123E-3</v>
      </c>
      <c r="N461" s="163">
        <v>217</v>
      </c>
      <c r="O461" s="222">
        <f t="shared" si="49"/>
        <v>1</v>
      </c>
    </row>
    <row r="462" spans="4:15" x14ac:dyDescent="0.2">
      <c r="D462" s="86">
        <v>44316</v>
      </c>
      <c r="E462" s="64">
        <f t="shared" si="50"/>
        <v>1677</v>
      </c>
      <c r="F462" s="101">
        <v>1677</v>
      </c>
      <c r="G462" s="140"/>
      <c r="H462" s="64">
        <f>E462/'Erkrankungs- und Strukturdaten'!$C$7</f>
        <v>3049.090909090909</v>
      </c>
      <c r="I462" s="64">
        <f t="shared" si="51"/>
        <v>659297</v>
      </c>
      <c r="J462" s="64">
        <f t="shared" si="47"/>
        <v>0</v>
      </c>
      <c r="K462" s="101">
        <f>IFERROR(IF(D462=_Datum,Prognoseparameter!$C$14,
IF(_WachstumsrateKURZ="Bundesweit",IF(D462&gt;_Datum,
         K461+AVERAGE(F458:F461)*(1+_WR)*(1-(K461-VLOOKUP('Erkrankungs- und Strukturdaten'!$C$45,$D:$M,$K$1,FALSE))/$B$16),
         K463-$B$23*F463),
IF(D462&gt;_Datum,K461+G462,IF(G463="",K463/(K463^(1/N462)),K463-G463)))),"")</f>
        <v>0</v>
      </c>
      <c r="L462" s="64">
        <f>I462/'Erkrankungs- und Strukturdaten'!$C$7</f>
        <v>1198721.8181818181</v>
      </c>
      <c r="M462" s="65">
        <f t="shared" si="48"/>
        <v>2.5501049238161855E-3</v>
      </c>
      <c r="N462" s="163">
        <v>217</v>
      </c>
      <c r="O462" s="222">
        <f t="shared" si="49"/>
        <v>1</v>
      </c>
    </row>
    <row r="463" spans="4:15" x14ac:dyDescent="0.2">
      <c r="D463" s="86">
        <v>44317</v>
      </c>
      <c r="E463" s="64">
        <f t="shared" si="50"/>
        <v>1158</v>
      </c>
      <c r="F463" s="101">
        <v>1158</v>
      </c>
      <c r="G463" s="140"/>
      <c r="H463" s="64">
        <f>E463/'Erkrankungs- und Strukturdaten'!$C$7</f>
        <v>2105.4545454545455</v>
      </c>
      <c r="I463" s="64">
        <f t="shared" si="51"/>
        <v>660455</v>
      </c>
      <c r="J463" s="64">
        <f t="shared" si="47"/>
        <v>0</v>
      </c>
      <c r="K463" s="101">
        <f>IFERROR(IF(D463=_Datum,Prognoseparameter!$C$14,
IF(_WachstumsrateKURZ="Bundesweit",IF(D463&gt;_Datum,
         K462+AVERAGE(F459:F462)*(1+_WR)*(1-(K462-VLOOKUP('Erkrankungs- und Strukturdaten'!$C$45,$D:$M,$K$1,FALSE))/$B$16),
         K464-$B$23*F464),
IF(D463&gt;_Datum,K462+G463,IF(G464="",K464/(K464^(1/N463)),K464-G464)))),"")</f>
        <v>0</v>
      </c>
      <c r="L463" s="64">
        <f>I463/'Erkrankungs- und Strukturdaten'!$C$7</f>
        <v>1200827.2727272727</v>
      </c>
      <c r="M463" s="65">
        <f t="shared" si="48"/>
        <v>1.7564163040329321E-3</v>
      </c>
      <c r="N463" s="163">
        <v>217</v>
      </c>
      <c r="O463" s="222">
        <f t="shared" si="49"/>
        <v>1</v>
      </c>
    </row>
    <row r="464" spans="4:15" x14ac:dyDescent="0.2">
      <c r="D464" s="86">
        <v>44318</v>
      </c>
      <c r="E464" s="64">
        <f t="shared" si="50"/>
        <v>832</v>
      </c>
      <c r="F464" s="101">
        <v>832</v>
      </c>
      <c r="G464" s="140"/>
      <c r="H464" s="64">
        <f>E464/'Erkrankungs- und Strukturdaten'!$C$7</f>
        <v>1512.7272727272725</v>
      </c>
      <c r="I464" s="64">
        <f t="shared" si="51"/>
        <v>661287</v>
      </c>
      <c r="J464" s="64">
        <f t="shared" si="47"/>
        <v>0</v>
      </c>
      <c r="K464" s="101">
        <f>IFERROR(IF(D464=_Datum,Prognoseparameter!$C$14,
IF(_WachstumsrateKURZ="Bundesweit",IF(D464&gt;_Datum,
         K463+AVERAGE(F460:F463)*(1+_WR)*(1-(K463-VLOOKUP('Erkrankungs- und Strukturdaten'!$C$45,$D:$M,$K$1,FALSE))/$B$16),
         K465-$B$23*F465),
IF(D464&gt;_Datum,K463+G464,IF(G465="",K465/(K465^(1/N464)),K465-G465)))),"")</f>
        <v>0</v>
      </c>
      <c r="L464" s="64">
        <f>I464/'Erkrankungs- und Strukturdaten'!$C$7</f>
        <v>1202340</v>
      </c>
      <c r="M464" s="65">
        <f t="shared" si="48"/>
        <v>1.2597376051358532E-3</v>
      </c>
      <c r="N464" s="163">
        <v>217</v>
      </c>
      <c r="O464" s="222">
        <f t="shared" si="49"/>
        <v>1</v>
      </c>
    </row>
    <row r="465" spans="4:15" x14ac:dyDescent="0.2">
      <c r="D465" s="86">
        <v>44319</v>
      </c>
      <c r="E465" s="64">
        <f t="shared" si="50"/>
        <v>2016</v>
      </c>
      <c r="F465" s="101">
        <v>2016</v>
      </c>
      <c r="G465" s="140"/>
      <c r="H465" s="64">
        <f>E465/'Erkrankungs- und Strukturdaten'!$C$7</f>
        <v>3665.454545454545</v>
      </c>
      <c r="I465" s="64">
        <f t="shared" si="51"/>
        <v>663303</v>
      </c>
      <c r="J465" s="64">
        <f t="shared" si="47"/>
        <v>0</v>
      </c>
      <c r="K465" s="101">
        <f>IFERROR(IF(D465=_Datum,Prognoseparameter!$C$14,
IF(_WachstumsrateKURZ="Bundesweit",IF(D465&gt;_Datum,
         K464+AVERAGE(F461:F464)*(1+_WR)*(1-(K464-VLOOKUP('Erkrankungs- und Strukturdaten'!$C$45,$D:$M,$K$1,FALSE))/$B$16),
         K466-$B$23*F466),
IF(D465&gt;_Datum,K464+G465,IF(G466="",K466/(K466^(1/N465)),K466-G466)))),"")</f>
        <v>0</v>
      </c>
      <c r="L465" s="64">
        <f>I465/'Erkrankungs- und Strukturdaten'!$C$7</f>
        <v>1206005.4545454544</v>
      </c>
      <c r="M465" s="65">
        <f t="shared" si="48"/>
        <v>3.048600683213189E-3</v>
      </c>
      <c r="N465" s="163">
        <v>217</v>
      </c>
      <c r="O465" s="222">
        <f t="shared" si="49"/>
        <v>1</v>
      </c>
    </row>
    <row r="466" spans="4:15" x14ac:dyDescent="0.2">
      <c r="D466" s="86">
        <v>44320</v>
      </c>
      <c r="E466" s="64">
        <f t="shared" si="50"/>
        <v>1734</v>
      </c>
      <c r="F466" s="101">
        <v>1734</v>
      </c>
      <c r="G466" s="140"/>
      <c r="H466" s="64">
        <f>E466/'Erkrankungs- und Strukturdaten'!$C$7</f>
        <v>3152.7272727272725</v>
      </c>
      <c r="I466" s="64">
        <f t="shared" si="51"/>
        <v>665037</v>
      </c>
      <c r="J466" s="64">
        <f t="shared" si="47"/>
        <v>0</v>
      </c>
      <c r="K466" s="101">
        <f>IFERROR(IF(D466=_Datum,Prognoseparameter!$C$14,
IF(_WachstumsrateKURZ="Bundesweit",IF(D466&gt;_Datum,
         K465+AVERAGE(F462:F465)*(1+_WR)*(1-(K465-VLOOKUP('Erkrankungs- und Strukturdaten'!$C$45,$D:$M,$K$1,FALSE))/$B$16),
         K467-$B$23*F467),
IF(D466&gt;_Datum,K465+G466,IF(G467="",K467/(K467^(1/N466)),K467-G467)))),"")</f>
        <v>0</v>
      </c>
      <c r="L466" s="64">
        <f>I466/'Erkrankungs- und Strukturdaten'!$C$7</f>
        <v>1209158.1818181816</v>
      </c>
      <c r="M466" s="65">
        <f t="shared" si="48"/>
        <v>2.6141898951158068E-3</v>
      </c>
      <c r="N466" s="163">
        <v>217</v>
      </c>
      <c r="O466" s="222">
        <f t="shared" si="49"/>
        <v>1</v>
      </c>
    </row>
    <row r="467" spans="4:15" x14ac:dyDescent="0.2">
      <c r="D467" s="86">
        <v>44321</v>
      </c>
      <c r="E467" s="64">
        <f t="shared" si="50"/>
        <v>1650</v>
      </c>
      <c r="F467" s="101">
        <v>1650</v>
      </c>
      <c r="G467" s="140"/>
      <c r="H467" s="64">
        <f>E467/'Erkrankungs- und Strukturdaten'!$C$7</f>
        <v>2999.9999999999995</v>
      </c>
      <c r="I467" s="64">
        <f t="shared" si="51"/>
        <v>666687</v>
      </c>
      <c r="J467" s="64">
        <f t="shared" si="47"/>
        <v>0</v>
      </c>
      <c r="K467" s="101">
        <f>IFERROR(IF(D467=_Datum,Prognoseparameter!$C$14,
IF(_WachstumsrateKURZ="Bundesweit",IF(D467&gt;_Datum,
         K466+AVERAGE(F463:F466)*(1+_WR)*(1-(K466-VLOOKUP('Erkrankungs- und Strukturdaten'!$C$45,$D:$M,$K$1,FALSE))/$B$16),
         K468-$B$23*F468),
IF(D467&gt;_Datum,K466+G467,IF(G468="",K468/(K468^(1/N467)),K468-G468)))),"")</f>
        <v>0</v>
      </c>
      <c r="L467" s="64">
        <f>I467/'Erkrankungs- und Strukturdaten'!$C$7</f>
        <v>1212158.1818181816</v>
      </c>
      <c r="M467" s="65">
        <f t="shared" si="48"/>
        <v>2.4810649633027937E-3</v>
      </c>
      <c r="N467" s="163">
        <v>217</v>
      </c>
      <c r="O467" s="222">
        <f t="shared" si="49"/>
        <v>1</v>
      </c>
    </row>
    <row r="468" spans="4:15" x14ac:dyDescent="0.2">
      <c r="D468" s="86">
        <v>44322</v>
      </c>
      <c r="E468" s="64">
        <f t="shared" si="50"/>
        <v>1483</v>
      </c>
      <c r="F468" s="101">
        <v>1483</v>
      </c>
      <c r="G468" s="140"/>
      <c r="H468" s="64">
        <f>E468/'Erkrankungs- und Strukturdaten'!$C$7</f>
        <v>2696.363636363636</v>
      </c>
      <c r="I468" s="64">
        <f t="shared" si="51"/>
        <v>668170</v>
      </c>
      <c r="J468" s="64">
        <f t="shared" si="47"/>
        <v>0</v>
      </c>
      <c r="K468" s="101">
        <f>IFERROR(IF(D468=_Datum,Prognoseparameter!$C$14,
IF(_WachstumsrateKURZ="Bundesweit",IF(D468&gt;_Datum,
         K467+AVERAGE(F464:F467)*(1+_WR)*(1-(K467-VLOOKUP('Erkrankungs- und Strukturdaten'!$C$45,$D:$M,$K$1,FALSE))/$B$16),
         K469-$B$23*F469),
IF(D468&gt;_Datum,K467+G468,IF(G469="",K469/(K469^(1/N468)),K469-G469)))),"")</f>
        <v>0</v>
      </c>
      <c r="L468" s="64">
        <f>I468/'Erkrankungs- und Strukturdaten'!$C$7</f>
        <v>1214854.5454545454</v>
      </c>
      <c r="M468" s="65">
        <f t="shared" si="48"/>
        <v>2.2244321548192782E-3</v>
      </c>
      <c r="N468" s="163">
        <v>217</v>
      </c>
      <c r="O468" s="222">
        <f t="shared" si="49"/>
        <v>1</v>
      </c>
    </row>
    <row r="469" spans="4:15" x14ac:dyDescent="0.2">
      <c r="D469" s="86">
        <v>44323</v>
      </c>
      <c r="E469" s="64">
        <f t="shared" si="50"/>
        <v>1570</v>
      </c>
      <c r="F469" s="101">
        <v>1570</v>
      </c>
      <c r="G469" s="140"/>
      <c r="H469" s="64">
        <f>E469/'Erkrankungs- und Strukturdaten'!$C$7</f>
        <v>2854.5454545454545</v>
      </c>
      <c r="I469" s="64">
        <f t="shared" si="51"/>
        <v>669740</v>
      </c>
      <c r="J469" s="64">
        <f t="shared" si="47"/>
        <v>0</v>
      </c>
      <c r="K469" s="101">
        <f>IFERROR(IF(D469=_Datum,Prognoseparameter!$C$14,
IF(_WachstumsrateKURZ="Bundesweit",IF(D469&gt;_Datum,
         K468+AVERAGE(F465:F468)*(1+_WR)*(1-(K468-VLOOKUP('Erkrankungs- und Strukturdaten'!$C$45,$D:$M,$K$1,FALSE))/$B$16),
         K470-$B$23*F470),
IF(D469&gt;_Datum,K468+G469,IF(G470="",K470/(K470^(1/N469)),K470-G470)))),"")</f>
        <v>0</v>
      </c>
      <c r="L469" s="64">
        <f>I469/'Erkrankungs- und Strukturdaten'!$C$7</f>
        <v>1217709.0909090908</v>
      </c>
      <c r="M469" s="65">
        <f t="shared" si="48"/>
        <v>2.34970142329048E-3</v>
      </c>
      <c r="N469" s="163">
        <v>217</v>
      </c>
      <c r="O469" s="222">
        <f t="shared" si="49"/>
        <v>1</v>
      </c>
    </row>
    <row r="470" spans="4:15" x14ac:dyDescent="0.2">
      <c r="D470" s="86">
        <v>44324</v>
      </c>
      <c r="E470" s="64">
        <f t="shared" si="50"/>
        <v>1062</v>
      </c>
      <c r="F470" s="101">
        <v>1062</v>
      </c>
      <c r="G470" s="140"/>
      <c r="H470" s="64">
        <f>E470/'Erkrankungs- und Strukturdaten'!$C$7</f>
        <v>1930.9090909090908</v>
      </c>
      <c r="I470" s="64">
        <f t="shared" si="51"/>
        <v>670802</v>
      </c>
      <c r="J470" s="64">
        <f t="shared" si="47"/>
        <v>0</v>
      </c>
      <c r="K470" s="101">
        <f>IFERROR(IF(D470=_Datum,Prognoseparameter!$C$14,
IF(_WachstumsrateKURZ="Bundesweit",IF(D470&gt;_Datum,
         K469+AVERAGE(F466:F469)*(1+_WR)*(1-(K469-VLOOKUP('Erkrankungs- und Strukturdaten'!$C$45,$D:$M,$K$1,FALSE))/$B$16),
         K471-$B$23*F471),
IF(D470&gt;_Datum,K469+G470,IF(G471="",K471/(K471^(1/N470)),K471-G471)))),"")</f>
        <v>0</v>
      </c>
      <c r="L470" s="64">
        <f>I470/'Erkrankungs- und Strukturdaten'!$C$7</f>
        <v>1219640</v>
      </c>
      <c r="M470" s="65">
        <f t="shared" si="48"/>
        <v>1.5856899692417953E-3</v>
      </c>
      <c r="N470" s="163">
        <v>217</v>
      </c>
      <c r="O470" s="222">
        <f t="shared" si="49"/>
        <v>1</v>
      </c>
    </row>
    <row r="471" spans="4:15" x14ac:dyDescent="0.2">
      <c r="D471" s="86">
        <v>44325</v>
      </c>
      <c r="E471" s="64">
        <f t="shared" si="50"/>
        <v>779</v>
      </c>
      <c r="F471" s="101">
        <v>779</v>
      </c>
      <c r="G471" s="140"/>
      <c r="H471" s="64">
        <f>E471/'Erkrankungs- und Strukturdaten'!$C$7</f>
        <v>1416.3636363636363</v>
      </c>
      <c r="I471" s="64">
        <f t="shared" si="51"/>
        <v>671581</v>
      </c>
      <c r="J471" s="64">
        <f t="shared" ref="J471:J522" si="52">J470+G471</f>
        <v>0</v>
      </c>
      <c r="K471" s="101">
        <f>IFERROR(IF(D471=_Datum,Prognoseparameter!$C$14,
IF(_WachstumsrateKURZ="Bundesweit",IF(D471&gt;_Datum,
         K470+AVERAGE(F467:F470)*(1+_WR)*(1-(K470-VLOOKUP('Erkrankungs- und Strukturdaten'!$C$45,$D:$M,$K$1,FALSE))/$B$16),
         K472-$B$23*F472),
IF(D471&gt;_Datum,K470+G471,IF(G472="",K472/(K472^(1/N471)),K472-G472)))),"")</f>
        <v>0</v>
      </c>
      <c r="L471" s="64">
        <f>I471/'Erkrankungs- und Strukturdaten'!$C$7</f>
        <v>1221056.3636363635</v>
      </c>
      <c r="M471" s="65">
        <f t="shared" ref="M471:M522" si="53">IFERROR((I471-I470)/I470,0)</f>
        <v>1.1612964779472929E-3</v>
      </c>
      <c r="N471" s="163">
        <v>217</v>
      </c>
      <c r="O471" s="222">
        <f t="shared" ref="O471:O522" si="54">IF(F471=ROUNDDOWN(F471,0),1,0)</f>
        <v>1</v>
      </c>
    </row>
    <row r="472" spans="4:15" x14ac:dyDescent="0.2">
      <c r="D472" s="86">
        <v>44326</v>
      </c>
      <c r="E472" s="64">
        <f t="shared" si="50"/>
        <v>1718</v>
      </c>
      <c r="F472" s="101">
        <v>1718</v>
      </c>
      <c r="G472" s="140"/>
      <c r="H472" s="64">
        <f>E472/'Erkrankungs- und Strukturdaten'!$C$7</f>
        <v>3123.6363636363635</v>
      </c>
      <c r="I472" s="64">
        <f t="shared" si="51"/>
        <v>673299</v>
      </c>
      <c r="J472" s="64">
        <f t="shared" si="52"/>
        <v>0</v>
      </c>
      <c r="K472" s="101">
        <f>IFERROR(IF(D472=_Datum,Prognoseparameter!$C$14,
IF(_WachstumsrateKURZ="Bundesweit",IF(D472&gt;_Datum,
         K471+AVERAGE(F468:F471)*(1+_WR)*(1-(K471-VLOOKUP('Erkrankungs- und Strukturdaten'!$C$45,$D:$M,$K$1,FALSE))/$B$16),
         K473-$B$23*F473),
IF(D472&gt;_Datum,K471+G472,IF(G473="",K473/(K473^(1/N472)),K473-G473)))),"")</f>
        <v>0</v>
      </c>
      <c r="L472" s="64">
        <f>I472/'Erkrankungs- und Strukturdaten'!$C$7</f>
        <v>1224180</v>
      </c>
      <c r="M472" s="65">
        <f t="shared" si="53"/>
        <v>2.558142651444874E-3</v>
      </c>
      <c r="N472" s="163">
        <v>217</v>
      </c>
      <c r="O472" s="222">
        <f t="shared" si="54"/>
        <v>1</v>
      </c>
    </row>
    <row r="473" spans="4:15" x14ac:dyDescent="0.2">
      <c r="D473" s="86">
        <v>44327</v>
      </c>
      <c r="E473" s="64">
        <f t="shared" si="50"/>
        <v>1380</v>
      </c>
      <c r="F473" s="101">
        <v>1380</v>
      </c>
      <c r="G473" s="140"/>
      <c r="H473" s="64">
        <f>E473/'Erkrankungs- und Strukturdaten'!$C$7</f>
        <v>2509.090909090909</v>
      </c>
      <c r="I473" s="64">
        <f t="shared" si="51"/>
        <v>674679</v>
      </c>
      <c r="J473" s="64">
        <f t="shared" si="52"/>
        <v>0</v>
      </c>
      <c r="K473" s="101">
        <f>IFERROR(IF(D473=_Datum,Prognoseparameter!$C$14,
IF(_WachstumsrateKURZ="Bundesweit",IF(D473&gt;_Datum,
         K472+AVERAGE(F469:F472)*(1+_WR)*(1-(K472-VLOOKUP('Erkrankungs- und Strukturdaten'!$C$45,$D:$M,$K$1,FALSE))/$B$16),
         K474-$B$23*F474),
IF(D473&gt;_Datum,K472+G473,IF(G474="",K474/(K474^(1/N473)),K474-G474)))),"")</f>
        <v>0</v>
      </c>
      <c r="L473" s="64">
        <f>I473/'Erkrankungs- und Strukturdaten'!$C$7</f>
        <v>1226689.0909090908</v>
      </c>
      <c r="M473" s="65">
        <f t="shared" si="53"/>
        <v>2.049609460284361E-3</v>
      </c>
      <c r="N473" s="163">
        <v>217</v>
      </c>
      <c r="O473" s="222">
        <f t="shared" si="54"/>
        <v>1</v>
      </c>
    </row>
    <row r="474" spans="4:15" x14ac:dyDescent="0.2">
      <c r="D474" s="86">
        <v>44328</v>
      </c>
      <c r="E474" s="64">
        <f t="shared" si="50"/>
        <v>1442</v>
      </c>
      <c r="F474" s="101">
        <v>1442</v>
      </c>
      <c r="G474" s="140"/>
      <c r="H474" s="64">
        <f>E474/'Erkrankungs- und Strukturdaten'!$C$7</f>
        <v>2621.8181818181815</v>
      </c>
      <c r="I474" s="64">
        <f t="shared" si="51"/>
        <v>676121</v>
      </c>
      <c r="J474" s="64">
        <f t="shared" si="52"/>
        <v>0</v>
      </c>
      <c r="K474" s="101">
        <f>IFERROR(IF(D474=_Datum,Prognoseparameter!$C$14,
IF(_WachstumsrateKURZ="Bundesweit",IF(D474&gt;_Datum,
         K473+AVERAGE(F470:F473)*(1+_WR)*(1-(K473-VLOOKUP('Erkrankungs- und Strukturdaten'!$C$45,$D:$M,$K$1,FALSE))/$B$16),
         K475-$B$23*F475),
IF(D474&gt;_Datum,K473+G474,IF(G475="",K475/(K475^(1/N474)),K475-G475)))),"")</f>
        <v>0</v>
      </c>
      <c r="L474" s="64">
        <f>I474/'Erkrankungs- und Strukturdaten'!$C$7</f>
        <v>1229310.9090909089</v>
      </c>
      <c r="M474" s="65">
        <f t="shared" si="53"/>
        <v>2.1373127072281781E-3</v>
      </c>
      <c r="N474" s="163">
        <v>217</v>
      </c>
      <c r="O474" s="222">
        <f t="shared" si="54"/>
        <v>1</v>
      </c>
    </row>
    <row r="475" spans="4:15" x14ac:dyDescent="0.2">
      <c r="D475" s="86">
        <v>44329</v>
      </c>
      <c r="E475" s="64">
        <f t="shared" si="50"/>
        <v>671</v>
      </c>
      <c r="F475" s="101">
        <v>671</v>
      </c>
      <c r="G475" s="140"/>
      <c r="H475" s="64">
        <f>E475/'Erkrankungs- und Strukturdaten'!$C$7</f>
        <v>1220</v>
      </c>
      <c r="I475" s="64">
        <f t="shared" si="51"/>
        <v>676792</v>
      </c>
      <c r="J475" s="64">
        <f t="shared" si="52"/>
        <v>0</v>
      </c>
      <c r="K475" s="101">
        <f>IFERROR(IF(D475=_Datum,Prognoseparameter!$C$14,
IF(_WachstumsrateKURZ="Bundesweit",IF(D475&gt;_Datum,
         K474+AVERAGE(F471:F474)*(1+_WR)*(1-(K474-VLOOKUP('Erkrankungs- und Strukturdaten'!$C$45,$D:$M,$K$1,FALSE))/$B$16),
         K476-$B$23*F476),
IF(D475&gt;_Datum,K474+G475,IF(G476="",K476/(K476^(1/N475)),K476-G476)))),"")</f>
        <v>0</v>
      </c>
      <c r="L475" s="64">
        <f>I475/'Erkrankungs- und Strukturdaten'!$C$7</f>
        <v>1230530.9090909089</v>
      </c>
      <c r="M475" s="65">
        <f t="shared" si="53"/>
        <v>9.9242591192996526E-4</v>
      </c>
      <c r="N475" s="163">
        <v>217</v>
      </c>
      <c r="O475" s="222">
        <f t="shared" si="54"/>
        <v>1</v>
      </c>
    </row>
    <row r="476" spans="4:15" x14ac:dyDescent="0.2">
      <c r="D476" s="86">
        <v>44330</v>
      </c>
      <c r="E476" s="64">
        <f t="shared" si="50"/>
        <v>1168</v>
      </c>
      <c r="F476" s="101">
        <v>1168</v>
      </c>
      <c r="G476" s="140"/>
      <c r="H476" s="64">
        <f>E476/'Erkrankungs- und Strukturdaten'!$C$7</f>
        <v>2123.6363636363635</v>
      </c>
      <c r="I476" s="64">
        <f t="shared" si="51"/>
        <v>677960</v>
      </c>
      <c r="J476" s="64">
        <f t="shared" si="52"/>
        <v>0</v>
      </c>
      <c r="K476" s="101">
        <f>IFERROR(IF(D476=_Datum,Prognoseparameter!$C$14,
IF(_WachstumsrateKURZ="Bundesweit",IF(D476&gt;_Datum,
         K475+AVERAGE(F472:F475)*(1+_WR)*(1-(K475-VLOOKUP('Erkrankungs- und Strukturdaten'!$C$45,$D:$M,$K$1,FALSE))/$B$16),
         K477-$B$23*F477),
IF(D476&gt;_Datum,K475+G476,IF(G477="",K477/(K477^(1/N476)),K477-G477)))),"")</f>
        <v>0</v>
      </c>
      <c r="L476" s="64">
        <f>I476/'Erkrankungs- und Strukturdaten'!$C$7</f>
        <v>1232654.5454545454</v>
      </c>
      <c r="M476" s="65">
        <f t="shared" si="53"/>
        <v>1.7257887209068666E-3</v>
      </c>
      <c r="N476" s="163">
        <v>217</v>
      </c>
      <c r="O476" s="222">
        <f t="shared" si="54"/>
        <v>1</v>
      </c>
    </row>
    <row r="477" spans="4:15" x14ac:dyDescent="0.2">
      <c r="D477" s="86">
        <v>44331</v>
      </c>
      <c r="E477" s="64">
        <f t="shared" si="50"/>
        <v>796</v>
      </c>
      <c r="F477" s="101">
        <v>796</v>
      </c>
      <c r="G477" s="140"/>
      <c r="H477" s="64">
        <f>E477/'Erkrankungs- und Strukturdaten'!$C$7</f>
        <v>1447.2727272727273</v>
      </c>
      <c r="I477" s="64">
        <f t="shared" si="51"/>
        <v>678756</v>
      </c>
      <c r="J477" s="64">
        <f t="shared" si="52"/>
        <v>0</v>
      </c>
      <c r="K477" s="101">
        <f>IFERROR(IF(D477=_Datum,Prognoseparameter!$C$14,
IF(_WachstumsrateKURZ="Bundesweit",IF(D477&gt;_Datum,
         K476+AVERAGE(F473:F476)*(1+_WR)*(1-(K476-VLOOKUP('Erkrankungs- und Strukturdaten'!$C$45,$D:$M,$K$1,FALSE))/$B$16),
         K478-$B$23*F478),
IF(D477&gt;_Datum,K476+G477,IF(G478="",K478/(K478^(1/N477)),K478-G478)))),"")</f>
        <v>0</v>
      </c>
      <c r="L477" s="64">
        <f>I477/'Erkrankungs- und Strukturdaten'!$C$7</f>
        <v>1234101.8181818181</v>
      </c>
      <c r="M477" s="65">
        <f t="shared" si="53"/>
        <v>1.1741105669951029E-3</v>
      </c>
      <c r="N477" s="163">
        <v>217</v>
      </c>
      <c r="O477" s="222">
        <f t="shared" si="54"/>
        <v>1</v>
      </c>
    </row>
    <row r="478" spans="4:15" x14ac:dyDescent="0.2">
      <c r="D478" s="86">
        <v>44332</v>
      </c>
      <c r="E478" s="64">
        <f t="shared" si="50"/>
        <v>650</v>
      </c>
      <c r="F478" s="101">
        <v>650</v>
      </c>
      <c r="G478" s="140"/>
      <c r="H478" s="64">
        <f>E478/'Erkrankungs- und Strukturdaten'!$C$7</f>
        <v>1181.8181818181818</v>
      </c>
      <c r="I478" s="64">
        <f t="shared" si="51"/>
        <v>679406</v>
      </c>
      <c r="J478" s="64">
        <f t="shared" si="52"/>
        <v>0</v>
      </c>
      <c r="K478" s="101">
        <f>IFERROR(IF(D478=_Datum,Prognoseparameter!$C$14,
IF(_WachstumsrateKURZ="Bundesweit",IF(D478&gt;_Datum,
         K477+AVERAGE(F474:F477)*(1+_WR)*(1-(K477-VLOOKUP('Erkrankungs- und Strukturdaten'!$C$45,$D:$M,$K$1,FALSE))/$B$16),
         K479-$B$23*F479),
IF(D478&gt;_Datum,K477+G478,IF(G479="",K479/(K479^(1/N478)),K479-G479)))),"")</f>
        <v>0</v>
      </c>
      <c r="L478" s="64">
        <f>I478/'Erkrankungs- und Strukturdaten'!$C$7</f>
        <v>1235283.6363636362</v>
      </c>
      <c r="M478" s="65">
        <f t="shared" si="53"/>
        <v>9.5763426032329727E-4</v>
      </c>
      <c r="N478" s="163">
        <v>217</v>
      </c>
      <c r="O478" s="222">
        <f t="shared" si="54"/>
        <v>1</v>
      </c>
    </row>
    <row r="479" spans="4:15" x14ac:dyDescent="0.2">
      <c r="D479" s="86">
        <v>44333</v>
      </c>
      <c r="E479" s="64">
        <f t="shared" si="50"/>
        <v>1668</v>
      </c>
      <c r="F479" s="101">
        <v>1668</v>
      </c>
      <c r="G479" s="140"/>
      <c r="H479" s="64">
        <f>E479/'Erkrankungs- und Strukturdaten'!$C$7</f>
        <v>3032.7272727272725</v>
      </c>
      <c r="I479" s="64">
        <f t="shared" si="51"/>
        <v>681074</v>
      </c>
      <c r="J479" s="64">
        <f t="shared" si="52"/>
        <v>0</v>
      </c>
      <c r="K479" s="101">
        <f>IFERROR(IF(D479=_Datum,Prognoseparameter!$C$14,
IF(_WachstumsrateKURZ="Bundesweit",IF(D479&gt;_Datum,
         K478+AVERAGE(F475:F478)*(1+_WR)*(1-(K478-VLOOKUP('Erkrankungs- und Strukturdaten'!$C$45,$D:$M,$K$1,FALSE))/$B$16),
         K480-$B$23*F480),
IF(D479&gt;_Datum,K478+G479,IF(G480="",K480/(K480^(1/N479)),K480-G480)))),"")</f>
        <v>0</v>
      </c>
      <c r="L479" s="64">
        <f>I479/'Erkrankungs- und Strukturdaten'!$C$7</f>
        <v>1238316.3636363635</v>
      </c>
      <c r="M479" s="65">
        <f t="shared" si="53"/>
        <v>2.4550857660956779E-3</v>
      </c>
      <c r="N479" s="163">
        <v>217</v>
      </c>
      <c r="O479" s="222">
        <f t="shared" si="54"/>
        <v>1</v>
      </c>
    </row>
    <row r="480" spans="4:15" x14ac:dyDescent="0.2">
      <c r="D480" s="86">
        <v>44334</v>
      </c>
      <c r="E480" s="64">
        <f t="shared" si="50"/>
        <v>1342</v>
      </c>
      <c r="F480" s="101">
        <v>1342</v>
      </c>
      <c r="G480" s="140"/>
      <c r="H480" s="64">
        <f>E480/'Erkrankungs- und Strukturdaten'!$C$7</f>
        <v>2440</v>
      </c>
      <c r="I480" s="64">
        <f t="shared" si="51"/>
        <v>682416</v>
      </c>
      <c r="J480" s="64">
        <f t="shared" si="52"/>
        <v>0</v>
      </c>
      <c r="K480" s="101">
        <f>IFERROR(IF(D480=_Datum,Prognoseparameter!$C$14,
IF(_WachstumsrateKURZ="Bundesweit",IF(D480&gt;_Datum,
         K479+AVERAGE(F476:F479)*(1+_WR)*(1-(K479-VLOOKUP('Erkrankungs- und Strukturdaten'!$C$45,$D:$M,$K$1,FALSE))/$B$16),
         K481-$B$23*F481),
IF(D480&gt;_Datum,K479+G480,IF(G481="",K481/(K481^(1/N480)),K481-G481)))),"")</f>
        <v>0</v>
      </c>
      <c r="L480" s="64">
        <f>I480/'Erkrankungs- und Strukturdaten'!$C$7</f>
        <v>1240756.3636363635</v>
      </c>
      <c r="M480" s="65">
        <f t="shared" si="53"/>
        <v>1.9704173114815718E-3</v>
      </c>
      <c r="N480" s="163">
        <v>217</v>
      </c>
      <c r="O480" s="222">
        <f t="shared" si="54"/>
        <v>1</v>
      </c>
    </row>
    <row r="481" spans="4:15" x14ac:dyDescent="0.2">
      <c r="D481" s="86">
        <v>44335</v>
      </c>
      <c r="E481" s="64">
        <f t="shared" si="50"/>
        <v>1210</v>
      </c>
      <c r="F481" s="101">
        <v>1210</v>
      </c>
      <c r="G481" s="140"/>
      <c r="H481" s="64">
        <f>E481/'Erkrankungs- und Strukturdaten'!$C$7</f>
        <v>2200</v>
      </c>
      <c r="I481" s="64">
        <f t="shared" si="51"/>
        <v>683626</v>
      </c>
      <c r="J481" s="64">
        <f t="shared" si="52"/>
        <v>0</v>
      </c>
      <c r="K481" s="101">
        <f>IFERROR(IF(D481=_Datum,Prognoseparameter!$C$14,
IF(_WachstumsrateKURZ="Bundesweit",IF(D481&gt;_Datum,
         K480+AVERAGE(F477:F480)*(1+_WR)*(1-(K480-VLOOKUP('Erkrankungs- und Strukturdaten'!$C$45,$D:$M,$K$1,FALSE))/$B$16),
         K482-$B$23*F482),
IF(D481&gt;_Datum,K480+G481,IF(G482="",K482/(K482^(1/N481)),K482-G482)))),"")</f>
        <v>0</v>
      </c>
      <c r="L481" s="64">
        <f>I481/'Erkrankungs- und Strukturdaten'!$C$7</f>
        <v>1242956.3636363635</v>
      </c>
      <c r="M481" s="65">
        <f t="shared" si="53"/>
        <v>1.7731120020632576E-3</v>
      </c>
      <c r="N481" s="163">
        <v>217</v>
      </c>
      <c r="O481" s="222">
        <f t="shared" si="54"/>
        <v>1</v>
      </c>
    </row>
    <row r="482" spans="4:15" x14ac:dyDescent="0.2">
      <c r="D482" s="86">
        <v>44336</v>
      </c>
      <c r="E482" s="64">
        <f t="shared" si="50"/>
        <v>1037</v>
      </c>
      <c r="F482" s="101">
        <v>1037</v>
      </c>
      <c r="G482" s="140"/>
      <c r="H482" s="64">
        <f>E482/'Erkrankungs- und Strukturdaten'!$C$7</f>
        <v>1885.4545454545453</v>
      </c>
      <c r="I482" s="64">
        <f t="shared" si="51"/>
        <v>684663</v>
      </c>
      <c r="J482" s="64">
        <f t="shared" si="52"/>
        <v>0</v>
      </c>
      <c r="K482" s="101">
        <f>IFERROR(IF(D482=_Datum,Prognoseparameter!$C$14,
IF(_WachstumsrateKURZ="Bundesweit",IF(D482&gt;_Datum,
         K481+AVERAGE(F478:F481)*(1+_WR)*(1-(K481-VLOOKUP('Erkrankungs- und Strukturdaten'!$C$45,$D:$M,$K$1,FALSE))/$B$16),
         K483-$B$23*F483),
IF(D482&gt;_Datum,K481+G482,IF(G483="",K483/(K483^(1/N482)),K483-G483)))),"")</f>
        <v>0</v>
      </c>
      <c r="L482" s="64">
        <f>I482/'Erkrankungs- und Strukturdaten'!$C$7</f>
        <v>1244841.8181818181</v>
      </c>
      <c r="M482" s="65">
        <f t="shared" si="53"/>
        <v>1.5169112936020573E-3</v>
      </c>
      <c r="N482" s="163">
        <v>217</v>
      </c>
      <c r="O482" s="222">
        <f t="shared" si="54"/>
        <v>1</v>
      </c>
    </row>
    <row r="483" spans="4:15" x14ac:dyDescent="0.2">
      <c r="D483" s="86">
        <v>44337</v>
      </c>
      <c r="E483" s="64">
        <f t="shared" si="50"/>
        <v>982</v>
      </c>
      <c r="F483" s="101">
        <v>982</v>
      </c>
      <c r="G483" s="140"/>
      <c r="H483" s="64">
        <f>E483/'Erkrankungs- und Strukturdaten'!$C$7</f>
        <v>1785.4545454545453</v>
      </c>
      <c r="I483" s="64">
        <f t="shared" si="51"/>
        <v>685645</v>
      </c>
      <c r="J483" s="64">
        <f t="shared" si="52"/>
        <v>0</v>
      </c>
      <c r="K483" s="101">
        <f>IFERROR(IF(D483=_Datum,Prognoseparameter!$C$14,
IF(_WachstumsrateKURZ="Bundesweit",IF(D483&gt;_Datum,
         K482+AVERAGE(F479:F482)*(1+_WR)*(1-(K482-VLOOKUP('Erkrankungs- und Strukturdaten'!$C$45,$D:$M,$K$1,FALSE))/$B$16),
         K484-$B$23*F484),
IF(D483&gt;_Datum,K482+G483,IF(G484="",K484/(K484^(1/N483)),K484-G484)))),"")</f>
        <v>0</v>
      </c>
      <c r="L483" s="64">
        <f>I483/'Erkrankungs- und Strukturdaten'!$C$7</f>
        <v>1246627.2727272727</v>
      </c>
      <c r="M483" s="65">
        <f t="shared" si="53"/>
        <v>1.4342822673344404E-3</v>
      </c>
      <c r="N483" s="163">
        <v>217</v>
      </c>
      <c r="O483" s="222">
        <f t="shared" si="54"/>
        <v>1</v>
      </c>
    </row>
    <row r="484" spans="4:15" x14ac:dyDescent="0.2">
      <c r="D484" s="86">
        <v>44338</v>
      </c>
      <c r="E484" s="64">
        <f t="shared" si="50"/>
        <v>623</v>
      </c>
      <c r="F484" s="101">
        <v>623</v>
      </c>
      <c r="G484" s="140"/>
      <c r="H484" s="64">
        <f>E484/'Erkrankungs- und Strukturdaten'!$C$7</f>
        <v>1132.7272727272727</v>
      </c>
      <c r="I484" s="64">
        <f t="shared" si="51"/>
        <v>686268</v>
      </c>
      <c r="J484" s="64">
        <f t="shared" si="52"/>
        <v>0</v>
      </c>
      <c r="K484" s="101">
        <f>IFERROR(IF(D484=_Datum,Prognoseparameter!$C$14,
IF(_WachstumsrateKURZ="Bundesweit",IF(D484&gt;_Datum,
         K483+AVERAGE(F480:F483)*(1+_WR)*(1-(K483-VLOOKUP('Erkrankungs- und Strukturdaten'!$C$45,$D:$M,$K$1,FALSE))/$B$16),
         K485-$B$23*F485),
IF(D484&gt;_Datum,K483+G484,IF(G485="",K485/(K485^(1/N484)),K485-G485)))),"")</f>
        <v>0</v>
      </c>
      <c r="L484" s="64">
        <f>I484/'Erkrankungs- und Strukturdaten'!$C$7</f>
        <v>1247760</v>
      </c>
      <c r="M484" s="65">
        <f t="shared" si="53"/>
        <v>9.0863347650752208E-4</v>
      </c>
      <c r="N484" s="163">
        <v>217</v>
      </c>
      <c r="O484" s="222">
        <f t="shared" si="54"/>
        <v>1</v>
      </c>
    </row>
    <row r="485" spans="4:15" x14ac:dyDescent="0.2">
      <c r="D485" s="86">
        <v>44339</v>
      </c>
      <c r="E485" s="64">
        <f t="shared" si="50"/>
        <v>468</v>
      </c>
      <c r="F485" s="101">
        <v>468</v>
      </c>
      <c r="G485" s="140"/>
      <c r="H485" s="64">
        <f>E485/'Erkrankungs- und Strukturdaten'!$C$7</f>
        <v>850.90909090909088</v>
      </c>
      <c r="I485" s="64">
        <f t="shared" si="51"/>
        <v>686736</v>
      </c>
      <c r="J485" s="64">
        <f t="shared" si="52"/>
        <v>0</v>
      </c>
      <c r="K485" s="101">
        <f>IFERROR(IF(D485=_Datum,Prognoseparameter!$C$14,
IF(_WachstumsrateKURZ="Bundesweit",IF(D485&gt;_Datum,
         K484+AVERAGE(F481:F484)*(1+_WR)*(1-(K484-VLOOKUP('Erkrankungs- und Strukturdaten'!$C$45,$D:$M,$K$1,FALSE))/$B$16),
         K486-$B$23*F486),
IF(D485&gt;_Datum,K484+G485,IF(G486="",K486/(K486^(1/N485)),K486-G486)))),"")</f>
        <v>0</v>
      </c>
      <c r="L485" s="64">
        <f>I485/'Erkrankungs- und Strukturdaten'!$C$7</f>
        <v>1248610.9090909089</v>
      </c>
      <c r="M485" s="65">
        <f t="shared" si="53"/>
        <v>6.8194932591932012E-4</v>
      </c>
      <c r="N485" s="163">
        <v>217</v>
      </c>
      <c r="O485" s="222">
        <f t="shared" si="54"/>
        <v>1</v>
      </c>
    </row>
    <row r="486" spans="4:15" x14ac:dyDescent="0.2">
      <c r="D486" s="86">
        <v>44340</v>
      </c>
      <c r="E486" s="64">
        <f t="shared" si="50"/>
        <v>577</v>
      </c>
      <c r="F486" s="101">
        <v>577</v>
      </c>
      <c r="G486" s="140"/>
      <c r="H486" s="64">
        <f>E486/'Erkrankungs- und Strukturdaten'!$C$7</f>
        <v>1049.090909090909</v>
      </c>
      <c r="I486" s="64">
        <f t="shared" si="51"/>
        <v>687313</v>
      </c>
      <c r="J486" s="64">
        <f t="shared" si="52"/>
        <v>0</v>
      </c>
      <c r="K486" s="101">
        <f>IFERROR(IF(D486=_Datum,Prognoseparameter!$C$14,
IF(_WachstumsrateKURZ="Bundesweit",IF(D486&gt;_Datum,
         K485+AVERAGE(F482:F485)*(1+_WR)*(1-(K485-VLOOKUP('Erkrankungs- und Strukturdaten'!$C$45,$D:$M,$K$1,FALSE))/$B$16),
         K487-$B$23*F487),
IF(D486&gt;_Datum,K485+G486,IF(G487="",K487/(K487^(1/N486)),K487-G487)))),"")</f>
        <v>0</v>
      </c>
      <c r="L486" s="64">
        <f>I486/'Erkrankungs- und Strukturdaten'!$C$7</f>
        <v>1249660</v>
      </c>
      <c r="M486" s="65">
        <f t="shared" si="53"/>
        <v>8.4020642575895253E-4</v>
      </c>
      <c r="N486" s="163">
        <v>217</v>
      </c>
      <c r="O486" s="222">
        <f t="shared" si="54"/>
        <v>1</v>
      </c>
    </row>
    <row r="487" spans="4:15" x14ac:dyDescent="0.2">
      <c r="D487" s="86">
        <v>44341</v>
      </c>
      <c r="E487" s="64">
        <f t="shared" si="50"/>
        <v>1117</v>
      </c>
      <c r="F487" s="101">
        <v>1117</v>
      </c>
      <c r="G487" s="140"/>
      <c r="H487" s="64">
        <f>E487/'Erkrankungs- und Strukturdaten'!$C$7</f>
        <v>2030.9090909090908</v>
      </c>
      <c r="I487" s="64">
        <f t="shared" si="51"/>
        <v>688430</v>
      </c>
      <c r="J487" s="64">
        <f t="shared" si="52"/>
        <v>0</v>
      </c>
      <c r="K487" s="101">
        <f>IFERROR(IF(D487=_Datum,Prognoseparameter!$C$14,
IF(_WachstumsrateKURZ="Bundesweit",IF(D487&gt;_Datum,
         K486+AVERAGE(F483:F486)*(1+_WR)*(1-(K486-VLOOKUP('Erkrankungs- und Strukturdaten'!$C$45,$D:$M,$K$1,FALSE))/$B$16),
         K488-$B$23*F488),
IF(D487&gt;_Datum,K486+G487,IF(G488="",K488/(K488^(1/N487)),K488-G488)))),"")</f>
        <v>0</v>
      </c>
      <c r="L487" s="64">
        <f>I487/'Erkrankungs- und Strukturdaten'!$C$7</f>
        <v>1251690.9090909089</v>
      </c>
      <c r="M487" s="65">
        <f t="shared" si="53"/>
        <v>1.6251693187819814E-3</v>
      </c>
      <c r="N487" s="163">
        <v>217</v>
      </c>
      <c r="O487" s="222">
        <f t="shared" si="54"/>
        <v>1</v>
      </c>
    </row>
    <row r="488" spans="4:15" x14ac:dyDescent="0.2">
      <c r="D488" s="86">
        <v>44342</v>
      </c>
      <c r="E488" s="64">
        <f t="shared" si="50"/>
        <v>595</v>
      </c>
      <c r="F488" s="101">
        <v>595</v>
      </c>
      <c r="G488" s="140"/>
      <c r="H488" s="64">
        <f>E488/'Erkrankungs- und Strukturdaten'!$C$7</f>
        <v>1081.8181818181818</v>
      </c>
      <c r="I488" s="64">
        <f t="shared" si="51"/>
        <v>689025</v>
      </c>
      <c r="J488" s="64">
        <f t="shared" si="52"/>
        <v>0</v>
      </c>
      <c r="K488" s="101">
        <f>IFERROR(IF(D488=_Datum,Prognoseparameter!$C$14,
IF(_WachstumsrateKURZ="Bundesweit",IF(D488&gt;_Datum,
         K487+AVERAGE(F484:F487)*(1+_WR)*(1-(K487-VLOOKUP('Erkrankungs- und Strukturdaten'!$C$45,$D:$M,$K$1,FALSE))/$B$16),
         K489-$B$23*F489),
IF(D488&gt;_Datum,K487+G488,IF(G489="",K489/(K489^(1/N488)),K489-G489)))),"")</f>
        <v>0</v>
      </c>
      <c r="L488" s="64">
        <f>I488/'Erkrankungs- und Strukturdaten'!$C$7</f>
        <v>1252772.7272727271</v>
      </c>
      <c r="M488" s="65">
        <f t="shared" si="53"/>
        <v>8.6428540301846225E-4</v>
      </c>
      <c r="N488" s="163">
        <v>217</v>
      </c>
      <c r="O488" s="222">
        <f t="shared" si="54"/>
        <v>1</v>
      </c>
    </row>
    <row r="489" spans="4:15" x14ac:dyDescent="0.2">
      <c r="D489" s="86">
        <v>44343</v>
      </c>
      <c r="E489" s="64">
        <f t="shared" si="50"/>
        <v>748.52277823399754</v>
      </c>
      <c r="F489" s="101">
        <f>ROUND(IF(_Methodik="Gesamtinf",
AVERAGE(F485:F488)*(1+_WR)*(1-(I488-VLOOKUP('Erkrankungs- und Strukturdaten'!$C$45,$D:$M,$I$1,FALSE))/$B$6),
IF(_Methodik="Neuinf",AVERAGE(F479:F485)*(AVERAGE($F482:$F488)/AVERAGE($F475:$F481))^(1/IF(D489-7&gt;_Datum,1,Prognoseparameter!$T$16)),
(I488)*(1+($B$29*(1-(I488)/$B$6)))-(I488))),4)+0.000001</f>
        <v>753.30100100000004</v>
      </c>
      <c r="G489" s="140">
        <f>ROUND(IFERROR(IF(_Methodik="Gesamtinf",
AVERAGE(G485:G488)*(1+_WR)*(1-(VLOOKUP(D489-1,$D:$M,$J$1+(_AusgangswertKURZ="Regionaler Ausgangswert"),FALSE)-VLOOKUP('Erkrankungs- und Strukturdaten'!$C$45,$D:$M,$J$1+(_AusgangswertKURZ="Regionaler Ausgangswert"),FALSE))/$B$16),
IF(_Methodik="Neuinf",AVERAGE(G479:G485)*(AVERAGE(G482:G488)/AVERAGE(G475:G481))^(1/IF($D489-7&gt;_Datum,1,Prognoseparameter!$T$16)),
VLOOKUP(D489-1,D:L,$J$1+(_AusgangswertKURZ="Regionaler Ausgangswert"),FALSE)*(1+($B$29*(1-VLOOKUP(D489-1,D:L,$J$1+(_AusgangswertKURZ="Regionaler Ausgangswert"),FALSE)/$B$16)))-VLOOKUP(D489-1,D:L,$J$1+(_AusgangswertKURZ="Regionaler Ausgangswert"),FALSE))),0),4)+0.000001</f>
        <v>9.9999999999999995E-7</v>
      </c>
      <c r="H489" s="64">
        <f>E489/'Erkrankungs- und Strukturdaten'!$C$7</f>
        <v>1360.9505058799955</v>
      </c>
      <c r="I489" s="64">
        <f t="shared" si="51"/>
        <v>689778.30100099999</v>
      </c>
      <c r="J489" s="64">
        <f t="shared" si="52"/>
        <v>9.9999999999999995E-7</v>
      </c>
      <c r="K489" s="101">
        <f>IFERROR(IF(D489=_Datum,Prognoseparameter!$C$14,
IF(_WachstumsrateKURZ="Bundesweit",IF(D489&gt;_Datum,
         K488+AVERAGE(F485:F488)*(1+_WR)*(1-(K488-VLOOKUP('Erkrankungs- und Strukturdaten'!$C$45,$D:$M,$K$1,FALSE))/$B$16),
         K490-$B$23*F490),
IF(D489&gt;_Datum,K488+G489,IF(G490="",K490/(K490^(1/N489)),K490-G490)))),"")</f>
        <v>689.97675557835316</v>
      </c>
      <c r="L489" s="64">
        <f>I489/'Erkrankungs- und Strukturdaten'!$C$7</f>
        <v>1254142.3654563634</v>
      </c>
      <c r="M489" s="65">
        <f t="shared" si="53"/>
        <v>1.0932854410217123E-3</v>
      </c>
      <c r="N489" s="163">
        <v>217</v>
      </c>
      <c r="O489" s="222">
        <f t="shared" si="54"/>
        <v>0</v>
      </c>
    </row>
    <row r="490" spans="4:15" x14ac:dyDescent="0.2">
      <c r="D490" s="86">
        <v>44344</v>
      </c>
      <c r="E490" s="64">
        <f t="shared" si="50"/>
        <v>633.81488982734743</v>
      </c>
      <c r="F490" s="101">
        <f>ROUND(IF(_Methodik="Gesamtinf",
AVERAGE(F486:F489)*(1+_WR)*(1-(I489-VLOOKUP('Erkrankungs- und Strukturdaten'!$C$45,$D:$M,$I$1,FALSE))/$B$6),
IF(_Methodik="Neuinf",AVERAGE(F480:F486)*(AVERAGE($F483:$F489)/AVERAGE($F476:$F482))^(1/IF(D490-7&gt;_Datum,1,Prognoseparameter!$T$16)),
(I489)*(1+($B$29*(1-(I489)/$B$6)))-(I489))),4)+0.000001</f>
        <v>579.23960099999999</v>
      </c>
      <c r="G490" s="140">
        <f>ROUND(IFERROR(IF(_Methodik="Gesamtinf",
AVERAGE(G486:G489)*(1+_WR)*(1-(VLOOKUP(D490-1,$D:$M,$J$1+(_AusgangswertKURZ="Regionaler Ausgangswert"),FALSE)-VLOOKUP('Erkrankungs- und Strukturdaten'!$C$45,$D:$M,$J$1+(_AusgangswertKURZ="Regionaler Ausgangswert"),FALSE))/$B$16),
IF(_Methodik="Neuinf",AVERAGE(G480:G486)*(AVERAGE(G483:G489)/AVERAGE(G476:G482))^(1/IF($D490-7&gt;_Datum,1,Prognoseparameter!$T$16)),
VLOOKUP(D490-1,D:L,$J$1+(_AusgangswertKURZ="Regionaler Ausgangswert"),FALSE)*(1+($B$29*(1-VLOOKUP(D490-1,D:L,$J$1+(_AusgangswertKURZ="Regionaler Ausgangswert"),FALSE)/$B$16)))-VLOOKUP(D490-1,D:L,$J$1+(_AusgangswertKURZ="Regionaler Ausgangswert"),FALSE))),0),4)+0.000001</f>
        <v>9.9999999999999995E-7</v>
      </c>
      <c r="H490" s="64">
        <f>E490/'Erkrankungs- und Strukturdaten'!$C$7</f>
        <v>1152.3907087769953</v>
      </c>
      <c r="I490" s="64">
        <f t="shared" si="51"/>
        <v>690357.54060199996</v>
      </c>
      <c r="J490" s="64">
        <f t="shared" si="52"/>
        <v>1.9999999999999999E-6</v>
      </c>
      <c r="K490" s="101">
        <f>IFERROR(IF(D490=_Datum,Prognoseparameter!$C$14,
IF(_WachstumsrateKURZ="Bundesweit",IF(D490&gt;_Datum,
         K489+AVERAGE(F486:F489)*(1+_WR)*(1-(K489-VLOOKUP('Erkrankungs- und Strukturdaten'!$C$45,$D:$M,$K$1,FALSE))/$B$16),
         K491-$B$23*F491),
IF(D490&gt;_Datum,K489+G490,IF(G491="",K491/(K491^(1/N490)),K491-G491)))),"")</f>
        <v>1451.1942749352438</v>
      </c>
      <c r="L490" s="64">
        <f>I490/'Erkrankungs- und Strukturdaten'!$C$7</f>
        <v>1255195.5283672726</v>
      </c>
      <c r="M490" s="65">
        <f t="shared" si="53"/>
        <v>8.3974749591193582E-4</v>
      </c>
      <c r="N490" s="163">
        <v>217</v>
      </c>
      <c r="O490" s="222">
        <f t="shared" si="54"/>
        <v>0</v>
      </c>
    </row>
    <row r="491" spans="4:15" x14ac:dyDescent="0.2">
      <c r="D491" s="86">
        <v>44345</v>
      </c>
      <c r="E491" s="64">
        <f t="shared" si="50"/>
        <v>388.69631917027743</v>
      </c>
      <c r="F491" s="101">
        <f>ROUND(IF(_Methodik="Gesamtinf",
AVERAGE(F487:F490)*(1+_WR)*(1-(I490-VLOOKUP('Erkrankungs- und Strukturdaten'!$C$45,$D:$M,$I$1,FALSE))/$B$6),
IF(_Methodik="Neuinf",AVERAGE(F481:F487)*(AVERAGE($F484:$F490)/AVERAGE($F477:$F483))^(1/IF(D491-7&gt;_Datum,1,Prognoseparameter!$T$16)),
(I490)*(1+($B$29*(1-(I490)/$B$6)))-(I490))),4)+0.000001</f>
        <v>526.837401</v>
      </c>
      <c r="G491" s="140">
        <f>ROUND(IFERROR(IF(_Methodik="Gesamtinf",
AVERAGE(G487:G490)*(1+_WR)*(1-(VLOOKUP(D491-1,$D:$M,$J$1+(_AusgangswertKURZ="Regionaler Ausgangswert"),FALSE)-VLOOKUP('Erkrankungs- und Strukturdaten'!$C$45,$D:$M,$J$1+(_AusgangswertKURZ="Regionaler Ausgangswert"),FALSE))/$B$16),
IF(_Methodik="Neuinf",AVERAGE(G481:G487)*(AVERAGE(G484:G490)/AVERAGE(G477:G483))^(1/IF($D491-7&gt;_Datum,1,Prognoseparameter!$T$16)),
VLOOKUP(D491-1,D:L,$J$1+(_AusgangswertKURZ="Regionaler Ausgangswert"),FALSE)*(1+($B$29*(1-VLOOKUP(D491-1,D:L,$J$1+(_AusgangswertKURZ="Regionaler Ausgangswert"),FALSE)/$B$16)))-VLOOKUP(D491-1,D:L,$J$1+(_AusgangswertKURZ="Regionaler Ausgangswert"),FALSE))),0),4)+0.000001</f>
        <v>9.9999999999999995E-7</v>
      </c>
      <c r="H491" s="64">
        <f>E491/'Erkrankungs- und Strukturdaten'!$C$7</f>
        <v>706.72058030959522</v>
      </c>
      <c r="I491" s="64">
        <f t="shared" si="51"/>
        <v>690884.37800299993</v>
      </c>
      <c r="J491" s="64">
        <f t="shared" si="52"/>
        <v>3.0000000000000001E-6</v>
      </c>
      <c r="K491" s="101">
        <f>IFERROR(IF(D491=_Datum,Prognoseparameter!$C$14,
IF(_WachstumsrateKURZ="Bundesweit",IF(D491&gt;_Datum,
         K490+AVERAGE(F487:F490)*(1+_WR)*(1-(K490-VLOOKUP('Erkrankungs- und Strukturdaten'!$C$45,$D:$M,$K$1,FALSE))/$B$16),
         K492-$B$23*F492),
IF(D491&gt;_Datum,K490+G491,IF(G492="",K492/(K492^(1/N491)),K492-G492)))),"")</f>
        <v>2212.7958563206025</v>
      </c>
      <c r="L491" s="64">
        <f>I491/'Erkrankungs- und Strukturdaten'!$C$7</f>
        <v>1256153.4145509088</v>
      </c>
      <c r="M491" s="65">
        <f t="shared" si="53"/>
        <v>7.6313702685214312E-4</v>
      </c>
      <c r="N491" s="163">
        <v>217</v>
      </c>
      <c r="O491" s="222">
        <f t="shared" si="54"/>
        <v>0</v>
      </c>
    </row>
    <row r="492" spans="4:15" x14ac:dyDescent="0.2">
      <c r="D492" s="86">
        <v>44346</v>
      </c>
      <c r="E492" s="64">
        <f t="shared" si="50"/>
        <v>262.2505613943984</v>
      </c>
      <c r="F492" s="101">
        <f>ROUND(IF(_Methodik="Gesamtinf",
AVERAGE(F488:F491)*(1+_WR)*(1-(I491-VLOOKUP('Erkrankungs- und Strukturdaten'!$C$45,$D:$M,$I$1,FALSE))/$B$6),
IF(_Methodik="Neuinf",AVERAGE(F482:F488)*(AVERAGE($F485:$F491)/AVERAGE($F478:$F484))^(1/IF(D492-7&gt;_Datum,1,Prognoseparameter!$T$16)),
(I491)*(1+($B$29*(1-(I491)/$B$6)))-(I491))),4)+0.000001</f>
        <v>473.981201</v>
      </c>
      <c r="G492" s="140">
        <f>ROUND(IFERROR(IF(_Methodik="Gesamtinf",
AVERAGE(G488:G491)*(1+_WR)*(1-(VLOOKUP(D492-1,$D:$M,$J$1+(_AusgangswertKURZ="Regionaler Ausgangswert"),FALSE)-VLOOKUP('Erkrankungs- und Strukturdaten'!$C$45,$D:$M,$J$1+(_AusgangswertKURZ="Regionaler Ausgangswert"),FALSE))/$B$16),
IF(_Methodik="Neuinf",AVERAGE(G482:G488)*(AVERAGE(G485:G491)/AVERAGE(G478:G484))^(1/IF($D492-7&gt;_Datum,1,Prognoseparameter!$T$16)),
VLOOKUP(D492-1,D:L,$J$1+(_AusgangswertKURZ="Regionaler Ausgangswert"),FALSE)*(1+($B$29*(1-VLOOKUP(D492-1,D:L,$J$1+(_AusgangswertKURZ="Regionaler Ausgangswert"),FALSE)/$B$16)))-VLOOKUP(D492-1,D:L,$J$1+(_AusgangswertKURZ="Regionaler Ausgangswert"),FALSE))),0),4)+0.000001</f>
        <v>9.9999999999999995E-7</v>
      </c>
      <c r="H492" s="64">
        <f>E492/'Erkrankungs- und Strukturdaten'!$C$7</f>
        <v>476.81920253526977</v>
      </c>
      <c r="I492" s="64">
        <f t="shared" si="51"/>
        <v>691358.35920399998</v>
      </c>
      <c r="J492" s="64">
        <f t="shared" si="52"/>
        <v>3.9999999999999998E-6</v>
      </c>
      <c r="K492" s="101">
        <f>IFERROR(IF(D492=_Datum,Prognoseparameter!$C$14,
IF(_WachstumsrateKURZ="Bundesweit",IF(D492&gt;_Datum,
         K491+AVERAGE(F488:F491)*(1+_WR)*(1-(K491-VLOOKUP('Erkrankungs- und Strukturdaten'!$C$45,$D:$M,$K$1,FALSE))/$B$16),
         K493-$B$23*F493),
IF(D492&gt;_Datum,K491+G492,IF(G493="",K493/(K493^(1/N492)),K493-G493)))),"")</f>
        <v>2826.6241675377737</v>
      </c>
      <c r="L492" s="64">
        <f>I492/'Erkrankungs- und Strukturdaten'!$C$7</f>
        <v>1257015.1985527272</v>
      </c>
      <c r="M492" s="65">
        <f t="shared" si="53"/>
        <v>6.8604996160151694E-4</v>
      </c>
      <c r="N492" s="163">
        <v>217</v>
      </c>
      <c r="O492" s="222">
        <f t="shared" si="54"/>
        <v>0</v>
      </c>
    </row>
    <row r="493" spans="4:15" x14ac:dyDescent="0.2">
      <c r="D493" s="86">
        <v>44347</v>
      </c>
      <c r="E493" s="64">
        <f t="shared" si="50"/>
        <v>558.61572341577357</v>
      </c>
      <c r="F493" s="101">
        <f>ROUND(IF(_Methodik="Gesamtinf",
AVERAGE(F489:F492)*(1+_WR)*(1-(I492-VLOOKUP('Erkrankungs- und Strukturdaten'!$C$45,$D:$M,$I$1,FALSE))/$B$6),
IF(_Methodik="Neuinf",AVERAGE(F483:F489)*(AVERAGE($F486:$F492)/AVERAGE($F479:$F485))^(1/IF(D493-7&gt;_Datum,1,Prognoseparameter!$T$16)),
(I492)*(1+($B$29*(1-(I492)/$B$6)))-(I492))),4)+0.000001</f>
        <v>460.82160099999999</v>
      </c>
      <c r="G493" s="140">
        <f>ROUND(IFERROR(IF(_Methodik="Gesamtinf",
AVERAGE(G489:G492)*(1+_WR)*(1-(VLOOKUP(D493-1,$D:$M,$J$1+(_AusgangswertKURZ="Regionaler Ausgangswert"),FALSE)-VLOOKUP('Erkrankungs- und Strukturdaten'!$C$45,$D:$M,$J$1+(_AusgangswertKURZ="Regionaler Ausgangswert"),FALSE))/$B$16),
IF(_Methodik="Neuinf",AVERAGE(G483:G489)*(AVERAGE(G486:G492)/AVERAGE(G479:G485))^(1/IF($D493-7&gt;_Datum,1,Prognoseparameter!$T$16)),
VLOOKUP(D493-1,D:L,$J$1+(_AusgangswertKURZ="Regionaler Ausgangswert"),FALSE)*(1+($B$29*(1-VLOOKUP(D493-1,D:L,$J$1+(_AusgangswertKURZ="Regionaler Ausgangswert"),FALSE)/$B$16)))-VLOOKUP(D493-1,D:L,$J$1+(_AusgangswertKURZ="Regionaler Ausgangswert"),FALSE))),0),4)+0.000001</f>
        <v>9.9999999999999995E-7</v>
      </c>
      <c r="H493" s="64">
        <f>E493/'Erkrankungs- und Strukturdaten'!$C$7</f>
        <v>1015.6649516650427</v>
      </c>
      <c r="I493" s="64">
        <f t="shared" si="51"/>
        <v>691819.18080500001</v>
      </c>
      <c r="J493" s="64">
        <f t="shared" si="52"/>
        <v>4.9999999999999996E-6</v>
      </c>
      <c r="K493" s="101">
        <f>IFERROR(IF(D493=_Datum,Prognoseparameter!$C$14,
IF(_WachstumsrateKURZ="Bundesweit",IF(D493&gt;_Datum,
         K492+AVERAGE(F489:F492)*(1+_WR)*(1-(K492-VLOOKUP('Erkrankungs- und Strukturdaten'!$C$45,$D:$M,$K$1,FALSE))/$B$16),
         K494-$B$23*F494),
IF(D493&gt;_Datum,K492+G493,IF(G494="",K494/(K494^(1/N493)),K494-G494)))),"")</f>
        <v>3410.077287838606</v>
      </c>
      <c r="L493" s="64">
        <f>I493/'Erkrankungs- und Strukturdaten'!$C$7</f>
        <v>1257853.0560090907</v>
      </c>
      <c r="M493" s="65">
        <f t="shared" si="53"/>
        <v>6.6654520751090998E-4</v>
      </c>
      <c r="N493" s="163">
        <v>217</v>
      </c>
      <c r="O493" s="222">
        <f t="shared" si="54"/>
        <v>0</v>
      </c>
    </row>
    <row r="494" spans="4:15" x14ac:dyDescent="0.2">
      <c r="D494" s="86">
        <v>44348</v>
      </c>
      <c r="E494" s="64">
        <f t="shared" si="50"/>
        <v>549.40359957744874</v>
      </c>
      <c r="F494" s="101">
        <f>ROUND(IF(_Methodik="Gesamtinf",
AVERAGE(F490:F493)*(1+_WR)*(1-(I493-VLOOKUP('Erkrankungs- und Strukturdaten'!$C$45,$D:$M,$I$1,FALSE))/$B$6),
IF(_Methodik="Neuinf",AVERAGE(F484:F490)*(AVERAGE($F487:$F493)/AVERAGE($F480:$F486))^(1/IF(D494-7&gt;_Datum,1,Prognoseparameter!$T$16)),
(I493)*(1+($B$29*(1-(I493)/$B$6)))-(I493))),4)+0.000001</f>
        <v>486.24000100000001</v>
      </c>
      <c r="G494" s="140">
        <f>ROUND(IFERROR(IF(_Methodik="Gesamtinf",
AVERAGE(G490:G493)*(1+_WR)*(1-(VLOOKUP(D494-1,$D:$M,$J$1+(_AusgangswertKURZ="Regionaler Ausgangswert"),FALSE)-VLOOKUP('Erkrankungs- und Strukturdaten'!$C$45,$D:$M,$J$1+(_AusgangswertKURZ="Regionaler Ausgangswert"),FALSE))/$B$16),
IF(_Methodik="Neuinf",AVERAGE(G484:G490)*(AVERAGE(G487:G493)/AVERAGE(G480:G486))^(1/IF($D494-7&gt;_Datum,1,Prognoseparameter!$T$16)),
VLOOKUP(D494-1,D:L,$J$1+(_AusgangswertKURZ="Regionaler Ausgangswert"),FALSE)*(1+($B$29*(1-VLOOKUP(D494-1,D:L,$J$1+(_AusgangswertKURZ="Regionaler Ausgangswert"),FALSE)/$B$16)))-VLOOKUP(D494-1,D:L,$J$1+(_AusgangswertKURZ="Regionaler Ausgangswert"),FALSE))),0),4)+0.000001</f>
        <v>9.9999999999999995E-7</v>
      </c>
      <c r="H494" s="64">
        <f>E494/'Erkrankungs- und Strukturdaten'!$C$7</f>
        <v>998.91563559536132</v>
      </c>
      <c r="I494" s="64">
        <f t="shared" si="51"/>
        <v>692305.42080600001</v>
      </c>
      <c r="J494" s="64">
        <f t="shared" si="52"/>
        <v>5.9999999999999993E-6</v>
      </c>
      <c r="K494" s="101">
        <f>IFERROR(IF(D494=_Datum,Prognoseparameter!$C$14,
IF(_WachstumsrateKURZ="Bundesweit",IF(D494&gt;_Datum,
         K493+AVERAGE(F490:F493)*(1+_WR)*(1-(K493-VLOOKUP('Erkrankungs- und Strukturdaten'!$C$45,$D:$M,$K$1,FALSE))/$B$16),
         K495-$B$23*F495),
IF(D494&gt;_Datum,K493+G494,IF(G495="",K495/(K495^(1/N494)),K495-G495)))),"")</f>
        <v>3920.3057655670227</v>
      </c>
      <c r="L494" s="64">
        <f>I494/'Erkrankungs- und Strukturdaten'!$C$7</f>
        <v>1258737.1287381817</v>
      </c>
      <c r="M494" s="65">
        <f t="shared" si="53"/>
        <v>7.0284261334617806E-4</v>
      </c>
      <c r="N494" s="163">
        <v>217</v>
      </c>
      <c r="O494" s="222">
        <f t="shared" si="54"/>
        <v>0</v>
      </c>
    </row>
    <row r="495" spans="4:15" x14ac:dyDescent="0.2">
      <c r="D495" s="86">
        <v>44349</v>
      </c>
      <c r="E495" s="64">
        <f t="shared" si="50"/>
        <v>543.50337259329194</v>
      </c>
      <c r="F495" s="101">
        <f>ROUND(IF(_Methodik="Gesamtinf",
AVERAGE(F491:F494)*(1+_WR)*(1-(I494-VLOOKUP('Erkrankungs- und Strukturdaten'!$C$45,$D:$M,$I$1,FALSE))/$B$6),
IF(_Methodik="Neuinf",AVERAGE(F485:F491)*(AVERAGE($F488:$F494)/AVERAGE($F481:$F487))^(1/IF(D495-7&gt;_Datum,1,Prognoseparameter!$T$16)),
(I494)*(1+($B$29*(1-(I494)/$B$6)))-(I494))),4)+0.000001</f>
        <v>424.97050100000001</v>
      </c>
      <c r="G495" s="140">
        <f>ROUND(IFERROR(IF(_Methodik="Gesamtinf",
AVERAGE(G491:G494)*(1+_WR)*(1-(VLOOKUP(D495-1,$D:$M,$J$1+(_AusgangswertKURZ="Regionaler Ausgangswert"),FALSE)-VLOOKUP('Erkrankungs- und Strukturdaten'!$C$45,$D:$M,$J$1+(_AusgangswertKURZ="Regionaler Ausgangswert"),FALSE))/$B$16),
IF(_Methodik="Neuinf",AVERAGE(G485:G491)*(AVERAGE(G488:G494)/AVERAGE(G481:G487))^(1/IF($D495-7&gt;_Datum,1,Prognoseparameter!$T$16)),
VLOOKUP(D495-1,D:L,$J$1+(_AusgangswertKURZ="Regionaler Ausgangswert"),FALSE)*(1+($B$29*(1-VLOOKUP(D495-1,D:L,$J$1+(_AusgangswertKURZ="Regionaler Ausgangswert"),FALSE)/$B$16)))-VLOOKUP(D495-1,D:L,$J$1+(_AusgangswertKURZ="Regionaler Ausgangswert"),FALSE))),0),4)+0.000001</f>
        <v>9.9999999999999995E-7</v>
      </c>
      <c r="H495" s="64">
        <f>E495/'Erkrankungs- und Strukturdaten'!$C$7</f>
        <v>988.18795016962167</v>
      </c>
      <c r="I495" s="64">
        <f t="shared" si="51"/>
        <v>692730.39130699995</v>
      </c>
      <c r="J495" s="64">
        <f t="shared" si="52"/>
        <v>6.999999999999999E-6</v>
      </c>
      <c r="K495" s="101">
        <f>IFERROR(IF(D495=_Datum,Prognoseparameter!$C$14,
IF(_WachstumsrateKURZ="Bundesweit",IF(D495&gt;_Datum,
         K494+AVERAGE(F491:F494)*(1+_WR)*(1-(K494-VLOOKUP('Erkrankungs- und Strukturdaten'!$C$45,$D:$M,$K$1,FALSE))/$B$16),
         K496-$B$23*F496),
IF(D495&gt;_Datum,K494+G495,IF(G496="",K496/(K496^(1/N495)),K496-G496)))),"")</f>
        <v>4407.2083453314099</v>
      </c>
      <c r="L495" s="64">
        <f>I495/'Erkrankungs- und Strukturdaten'!$C$7</f>
        <v>1259509.8023763634</v>
      </c>
      <c r="M495" s="65">
        <f t="shared" si="53"/>
        <v>6.1384829329399657E-4</v>
      </c>
      <c r="N495" s="163">
        <v>217</v>
      </c>
      <c r="O495" s="222">
        <f t="shared" si="54"/>
        <v>0</v>
      </c>
    </row>
    <row r="496" spans="4:15" x14ac:dyDescent="0.2">
      <c r="D496" s="86">
        <v>44350</v>
      </c>
      <c r="E496" s="64">
        <f t="shared" si="50"/>
        <v>450.32165609705726</v>
      </c>
      <c r="F496" s="101">
        <f>ROUND(IF(_Methodik="Gesamtinf",
AVERAGE(F492:F495)*(1+_WR)*(1-(I495-VLOOKUP('Erkrankungs- und Strukturdaten'!$C$45,$D:$M,$I$1,FALSE))/$B$6),
IF(_Methodik="Neuinf",AVERAGE(F486:F492)*(AVERAGE($F489:$F495)/AVERAGE($F482:$F488))^(1/IF(D496-7&gt;_Datum,1,Prognoseparameter!$T$16)),
(I495)*(1+($B$29*(1-(I495)/$B$6)))-(I495))),4)+0.000001</f>
        <v>453.19630100000001</v>
      </c>
      <c r="G496" s="140">
        <f>ROUND(IFERROR(IF(_Methodik="Gesamtinf",
AVERAGE(G492:G495)*(1+_WR)*(1-(VLOOKUP(D496-1,$D:$M,$J$1+(_AusgangswertKURZ="Regionaler Ausgangswert"),FALSE)-VLOOKUP('Erkrankungs- und Strukturdaten'!$C$45,$D:$M,$J$1+(_AusgangswertKURZ="Regionaler Ausgangswert"),FALSE))/$B$16),
IF(_Methodik="Neuinf",AVERAGE(G486:G492)*(AVERAGE(G489:G495)/AVERAGE(G482:G488))^(1/IF($D496-7&gt;_Datum,1,Prognoseparameter!$T$16)),
VLOOKUP(D496-1,D:L,$J$1+(_AusgangswertKURZ="Regionaler Ausgangswert"),FALSE)*(1+($B$29*(1-VLOOKUP(D496-1,D:L,$J$1+(_AusgangswertKURZ="Regionaler Ausgangswert"),FALSE)/$B$16)))-VLOOKUP(D496-1,D:L,$J$1+(_AusgangswertKURZ="Regionaler Ausgangswert"),FALSE))),0),4)+0.000001</f>
        <v>9.9999999999999995E-7</v>
      </c>
      <c r="H496" s="64">
        <f>E496/'Erkrankungs- und Strukturdaten'!$C$7</f>
        <v>818.76664744919492</v>
      </c>
      <c r="I496" s="64">
        <f t="shared" si="51"/>
        <v>693183.58760799991</v>
      </c>
      <c r="J496" s="64">
        <f t="shared" si="52"/>
        <v>7.9999999999999996E-6</v>
      </c>
      <c r="K496" s="101">
        <f>IFERROR(IF(D496=_Datum,Prognoseparameter!$C$14,
IF(_WachstumsrateKURZ="Bundesweit",IF(D496&gt;_Datum,
         K495+AVERAGE(F492:F495)*(1+_WR)*(1-(K495-VLOOKUP('Erkrankungs- und Strukturdaten'!$C$45,$D:$M,$K$1,FALSE))/$B$16),
         K497-$B$23*F497),
IF(D496&gt;_Datum,K495+G496,IF(G497="",K497/(K497^(1/N496)),K497-G497)))),"")</f>
        <v>4868.5793491035074</v>
      </c>
      <c r="L496" s="64">
        <f>I496/'Erkrankungs- und Strukturdaten'!$C$7</f>
        <v>1260333.7956509087</v>
      </c>
      <c r="M496" s="65">
        <f t="shared" si="53"/>
        <v>6.5421743680813221E-4</v>
      </c>
      <c r="N496" s="163">
        <v>217</v>
      </c>
      <c r="O496" s="222">
        <f t="shared" si="54"/>
        <v>0</v>
      </c>
    </row>
    <row r="497" spans="4:15" x14ac:dyDescent="0.2">
      <c r="D497" s="86">
        <v>44351</v>
      </c>
      <c r="E497" s="64">
        <f t="shared" si="50"/>
        <v>468.9184070578404</v>
      </c>
      <c r="F497" s="101">
        <f>ROUND(IF(_Methodik="Gesamtinf",
AVERAGE(F493:F496)*(1+_WR)*(1-(I496-VLOOKUP('Erkrankungs- und Strukturdaten'!$C$45,$D:$M,$I$1,FALSE))/$B$6),
IF(_Methodik="Neuinf",AVERAGE(F487:F493)*(AVERAGE($F490:$F496)/AVERAGE($F483:$F489))^(1/IF(D497-7&gt;_Datum,1,Prognoseparameter!$T$16)),
(I496)*(1+($B$29*(1-(I496)/$B$6)))-(I496))),4)+0.000001</f>
        <v>428.54170099999999</v>
      </c>
      <c r="G497" s="140">
        <f>ROUND(IFERROR(IF(_Methodik="Gesamtinf",
AVERAGE(G493:G496)*(1+_WR)*(1-(VLOOKUP(D497-1,$D:$M,$J$1+(_AusgangswertKURZ="Regionaler Ausgangswert"),FALSE)-VLOOKUP('Erkrankungs- und Strukturdaten'!$C$45,$D:$M,$J$1+(_AusgangswertKURZ="Regionaler Ausgangswert"),FALSE))/$B$16),
IF(_Methodik="Neuinf",AVERAGE(G487:G493)*(AVERAGE(G490:G496)/AVERAGE(G483:G489))^(1/IF($D497-7&gt;_Datum,1,Prognoseparameter!$T$16)),
VLOOKUP(D497-1,D:L,$J$1+(_AusgangswertKURZ="Regionaler Ausgangswert"),FALSE)*(1+($B$29*(1-VLOOKUP(D497-1,D:L,$J$1+(_AusgangswertKURZ="Regionaler Ausgangswert"),FALSE)/$B$16)))-VLOOKUP(D497-1,D:L,$J$1+(_AusgangswertKURZ="Regionaler Ausgangswert"),FALSE))),0),4)+0.000001</f>
        <v>9.9999999999999995E-7</v>
      </c>
      <c r="H497" s="64">
        <f>E497/'Erkrankungs- und Strukturdaten'!$C$7</f>
        <v>852.57892192334612</v>
      </c>
      <c r="I497" s="64">
        <f t="shared" si="51"/>
        <v>693612.12930899987</v>
      </c>
      <c r="J497" s="64">
        <f t="shared" si="52"/>
        <v>9.0000000000000002E-6</v>
      </c>
      <c r="K497" s="101">
        <f>IFERROR(IF(D497=_Datum,Prognoseparameter!$C$14,
IF(_WachstumsrateKURZ="Bundesweit",IF(D497&gt;_Datum,
         K496+AVERAGE(F493:F496)*(1+_WR)*(1-(K496-VLOOKUP('Erkrankungs- und Strukturdaten'!$C$45,$D:$M,$K$1,FALSE))/$B$16),
         K498-$B$23*F498),
IF(D497&gt;_Datum,K496+G497,IF(G498="",K498/(K498^(1/N497)),K498-G498)))),"")</f>
        <v>5324.6915533828824</v>
      </c>
      <c r="L497" s="64">
        <f>I497/'Erkrankungs- und Strukturdaten'!$C$7</f>
        <v>1261112.9623799997</v>
      </c>
      <c r="M497" s="65">
        <f t="shared" si="53"/>
        <v>6.18222515161877E-4</v>
      </c>
      <c r="N497" s="163">
        <v>217</v>
      </c>
      <c r="O497" s="222">
        <f t="shared" si="54"/>
        <v>0</v>
      </c>
    </row>
    <row r="498" spans="4:15" x14ac:dyDescent="0.2">
      <c r="D498" s="86">
        <v>44352</v>
      </c>
      <c r="E498" s="64">
        <f t="shared" si="50"/>
        <v>282.0952153905173</v>
      </c>
      <c r="F498" s="101">
        <f>ROUND(IF(_Methodik="Gesamtinf",
AVERAGE(F494:F497)*(1+_WR)*(1-(I497-VLOOKUP('Erkrankungs- und Strukturdaten'!$C$45,$D:$M,$I$1,FALSE))/$B$6),
IF(_Methodik="Neuinf",AVERAGE(F488:F494)*(AVERAGE($F491:$F497)/AVERAGE($F484:$F490))^(1/IF(D498-7&gt;_Datum,1,Prognoseparameter!$T$16)),
(I497)*(1+($B$29*(1-(I497)/$B$6)))-(I497))),4)+0.000001</f>
        <v>382.35070100000002</v>
      </c>
      <c r="G498" s="140">
        <f>ROUND(IFERROR(IF(_Methodik="Gesamtinf",
AVERAGE(G494:G497)*(1+_WR)*(1-(VLOOKUP(D498-1,$D:$M,$J$1+(_AusgangswertKURZ="Regionaler Ausgangswert"),FALSE)-VLOOKUP('Erkrankungs- und Strukturdaten'!$C$45,$D:$M,$J$1+(_AusgangswertKURZ="Regionaler Ausgangswert"),FALSE))/$B$16),
IF(_Methodik="Neuinf",AVERAGE(G488:G494)*(AVERAGE(G491:G497)/AVERAGE(G484:G490))^(1/IF($D498-7&gt;_Datum,1,Prognoseparameter!$T$16)),
VLOOKUP(D498-1,D:L,$J$1+(_AusgangswertKURZ="Regionaler Ausgangswert"),FALSE)*(1+($B$29*(1-VLOOKUP(D498-1,D:L,$J$1+(_AusgangswertKURZ="Regionaler Ausgangswert"),FALSE)/$B$16)))-VLOOKUP(D498-1,D:L,$J$1+(_AusgangswertKURZ="Regionaler Ausgangswert"),FALSE))),0),4)+0.000001</f>
        <v>9.9999999999999995E-7</v>
      </c>
      <c r="H498" s="64">
        <f>E498/'Erkrankungs- und Strukturdaten'!$C$7</f>
        <v>512.90039161912227</v>
      </c>
      <c r="I498" s="64">
        <f t="shared" si="51"/>
        <v>693994.48000999982</v>
      </c>
      <c r="J498" s="64">
        <f t="shared" si="52"/>
        <v>1.0000000000000001E-5</v>
      </c>
      <c r="K498" s="101">
        <f>IFERROR(IF(D498=_Datum,Prognoseparameter!$C$14,
IF(_WachstumsrateKURZ="Bundesweit",IF(D498&gt;_Datum,
         K497+AVERAGE(F494:F497)*(1+_WR)*(1-(K497-VLOOKUP('Erkrankungs- und Strukturdaten'!$C$45,$D:$M,$K$1,FALSE))/$B$16),
         K499-$B$23*F499),
IF(D498&gt;_Datum,K497+G498,IF(G499="",K499/(K499^(1/N498)),K499-G499)))),"")</f>
        <v>5772.675015443142</v>
      </c>
      <c r="L498" s="64">
        <f>I498/'Erkrankungs- und Strukturdaten'!$C$7</f>
        <v>1261808.1454727268</v>
      </c>
      <c r="M498" s="65">
        <f t="shared" si="53"/>
        <v>5.5124569603601107E-4</v>
      </c>
      <c r="N498" s="163">
        <v>217</v>
      </c>
      <c r="O498" s="222">
        <f t="shared" si="54"/>
        <v>0</v>
      </c>
    </row>
    <row r="499" spans="4:15" x14ac:dyDescent="0.2">
      <c r="D499" s="86">
        <v>44353</v>
      </c>
      <c r="E499" s="64">
        <f t="shared" si="50"/>
        <v>197.31707084814343</v>
      </c>
      <c r="F499" s="101">
        <f>ROUND(IF(_Methodik="Gesamtinf",
AVERAGE(F495:F498)*(1+_WR)*(1-(I498-VLOOKUP('Erkrankungs- und Strukturdaten'!$C$45,$D:$M,$I$1,FALSE))/$B$6),
IF(_Methodik="Neuinf",AVERAGE(F489:F495)*(AVERAGE($F492:$F498)/AVERAGE($F485:$F491))^(1/IF(D499-7&gt;_Datum,1,Prognoseparameter!$T$16)),
(I498)*(1+($B$29*(1-(I498)/$B$6)))-(I498))),4)+0.000001</f>
        <v>356.62300099999999</v>
      </c>
      <c r="G499" s="140">
        <f>ROUND(IFERROR(IF(_Methodik="Gesamtinf",
AVERAGE(G495:G498)*(1+_WR)*(1-(VLOOKUP(D499-1,$D:$M,$J$1+(_AusgangswertKURZ="Regionaler Ausgangswert"),FALSE)-VLOOKUP('Erkrankungs- und Strukturdaten'!$C$45,$D:$M,$J$1+(_AusgangswertKURZ="Regionaler Ausgangswert"),FALSE))/$B$16),
IF(_Methodik="Neuinf",AVERAGE(G489:G495)*(AVERAGE(G492:G498)/AVERAGE(G485:G491))^(1/IF($D499-7&gt;_Datum,1,Prognoseparameter!$T$16)),
VLOOKUP(D499-1,D:L,$J$1+(_AusgangswertKURZ="Regionaler Ausgangswert"),FALSE)*(1+($B$29*(1-VLOOKUP(D499-1,D:L,$J$1+(_AusgangswertKURZ="Regionaler Ausgangswert"),FALSE)/$B$16)))-VLOOKUP(D499-1,D:L,$J$1+(_AusgangswertKURZ="Regionaler Ausgangswert"),FALSE))),0),4)+0.000001</f>
        <v>9.9999999999999995E-7</v>
      </c>
      <c r="H499" s="64">
        <f>E499/'Erkrankungs- und Strukturdaten'!$C$7</f>
        <v>358.75831063298801</v>
      </c>
      <c r="I499" s="64">
        <f t="shared" si="51"/>
        <v>694351.10301099985</v>
      </c>
      <c r="J499" s="64">
        <f t="shared" si="52"/>
        <v>1.1000000000000001E-5</v>
      </c>
      <c r="K499" s="101">
        <f>IFERROR(IF(D499=_Datum,Prognoseparameter!$C$14,
IF(_WachstumsrateKURZ="Bundesweit",IF(D499&gt;_Datum,
         K498+AVERAGE(F495:F498)*(1+_WR)*(1-(K498-VLOOKUP('Erkrankungs- und Strukturdaten'!$C$45,$D:$M,$K$1,FALSE))/$B$16),
         K500-$B$23*F500),
IF(D499&gt;_Datum,K498+G499,IF(G500="",K500/(K500^(1/N499)),K500-G500)))),"")</f>
        <v>6194.6432859817478</v>
      </c>
      <c r="L499" s="64">
        <f>I499/'Erkrankungs- und Strukturdaten'!$C$7</f>
        <v>1262456.5509290905</v>
      </c>
      <c r="M499" s="65">
        <f t="shared" si="53"/>
        <v>5.1387008293623669E-4</v>
      </c>
      <c r="N499" s="163">
        <v>217</v>
      </c>
      <c r="O499" s="222">
        <f t="shared" si="54"/>
        <v>0</v>
      </c>
    </row>
    <row r="500" spans="4:15" x14ac:dyDescent="0.2">
      <c r="D500" s="86">
        <v>44354</v>
      </c>
      <c r="E500" s="64">
        <f t="shared" si="50"/>
        <v>381.80516350150612</v>
      </c>
      <c r="F500" s="101">
        <f>ROUND(IF(_Methodik="Gesamtinf",
AVERAGE(F496:F499)*(1+_WR)*(1-(I499-VLOOKUP('Erkrankungs- und Strukturdaten'!$C$45,$D:$M,$I$1,FALSE))/$B$6),
IF(_Methodik="Neuinf",AVERAGE(F490:F496)*(AVERAGE($F493:$F499)/AVERAGE($F486:$F492))^(1/IF(D500-7&gt;_Datum,1,Prognoseparameter!$T$16)),
(I499)*(1+($B$29*(1-(I499)/$B$6)))-(I499))),4)+0.000001</f>
        <v>314.96440100000001</v>
      </c>
      <c r="G500" s="140">
        <f>ROUND(IFERROR(IF(_Methodik="Gesamtinf",
AVERAGE(G496:G499)*(1+_WR)*(1-(VLOOKUP(D500-1,$D:$M,$J$1+(_AusgangswertKURZ="Regionaler Ausgangswert"),FALSE)-VLOOKUP('Erkrankungs- und Strukturdaten'!$C$45,$D:$M,$J$1+(_AusgangswertKURZ="Regionaler Ausgangswert"),FALSE))/$B$16),
IF(_Methodik="Neuinf",AVERAGE(G490:G496)*(AVERAGE(G493:G499)/AVERAGE(G486:G492))^(1/IF($D500-7&gt;_Datum,1,Prognoseparameter!$T$16)),
VLOOKUP(D500-1,D:L,$J$1+(_AusgangswertKURZ="Regionaler Ausgangswert"),FALSE)*(1+($B$29*(1-VLOOKUP(D500-1,D:L,$J$1+(_AusgangswertKURZ="Regionaler Ausgangswert"),FALSE)/$B$16)))-VLOOKUP(D500-1,D:L,$J$1+(_AusgangswertKURZ="Regionaler Ausgangswert"),FALSE))),0),4)+0.000001</f>
        <v>9.9999999999999995E-7</v>
      </c>
      <c r="H500" s="64">
        <f>E500/'Erkrankungs- und Strukturdaten'!$C$7</f>
        <v>694.19120636637467</v>
      </c>
      <c r="I500" s="64">
        <f t="shared" si="51"/>
        <v>694666.0674119998</v>
      </c>
      <c r="J500" s="64">
        <f t="shared" si="52"/>
        <v>1.2000000000000002E-5</v>
      </c>
      <c r="K500" s="101">
        <f>IFERROR(IF(D500=_Datum,Prognoseparameter!$C$14,
IF(_WachstumsrateKURZ="Bundesweit",IF(D500&gt;_Datum,
         K499+AVERAGE(F496:F499)*(1+_WR)*(1-(K499-VLOOKUP('Erkrankungs- und Strukturdaten'!$C$45,$D:$M,$K$1,FALSE))/$B$16),
         K501-$B$23*F501),
IF(D500&gt;_Datum,K499+G500,IF(G501="",K501/(K501^(1/N500)),K501-G501)))),"")</f>
        <v>6599.4846528911712</v>
      </c>
      <c r="L500" s="64">
        <f>I500/'Erkrankungs- und Strukturdaten'!$C$7</f>
        <v>1263029.2134763631</v>
      </c>
      <c r="M500" s="65">
        <f t="shared" si="53"/>
        <v>4.5360970787563777E-4</v>
      </c>
      <c r="N500" s="163">
        <v>217</v>
      </c>
      <c r="O500" s="222">
        <f t="shared" si="54"/>
        <v>0</v>
      </c>
    </row>
    <row r="501" spans="4:15" x14ac:dyDescent="0.2">
      <c r="D501" s="86">
        <v>44355</v>
      </c>
      <c r="E501" s="64">
        <f t="shared" si="50"/>
        <v>331.894846020709</v>
      </c>
      <c r="F501" s="101">
        <f>ROUND(IF(_Methodik="Gesamtinf",
AVERAGE(F497:F500)*(1+_WR)*(1-(I500-VLOOKUP('Erkrankungs- und Strukturdaten'!$C$45,$D:$M,$I$1,FALSE))/$B$6),
IF(_Methodik="Neuinf",AVERAGE(F491:F497)*(AVERAGE($F494:$F500)/AVERAGE($F487:$F493))^(1/IF(D501-7&gt;_Datum,1,Prognoseparameter!$T$16)),
(I500)*(1+($B$29*(1-(I500)/$B$6)))-(I500))),4)+0.000001</f>
        <v>293.73770100000002</v>
      </c>
      <c r="G501" s="140">
        <f>ROUND(IFERROR(IF(_Methodik="Gesamtinf",
AVERAGE(G497:G500)*(1+_WR)*(1-(VLOOKUP(D501-1,$D:$M,$J$1+(_AusgangswertKURZ="Regionaler Ausgangswert"),FALSE)-VLOOKUP('Erkrankungs- und Strukturdaten'!$C$45,$D:$M,$J$1+(_AusgangswertKURZ="Regionaler Ausgangswert"),FALSE))/$B$16),
IF(_Methodik="Neuinf",AVERAGE(G491:G497)*(AVERAGE(G494:G500)/AVERAGE(G487:G493))^(1/IF($D501-7&gt;_Datum,1,Prognoseparameter!$T$16)),
VLOOKUP(D501-1,D:L,$J$1+(_AusgangswertKURZ="Regionaler Ausgangswert"),FALSE)*(1+($B$29*(1-VLOOKUP(D501-1,D:L,$J$1+(_AusgangswertKURZ="Regionaler Ausgangswert"),FALSE)/$B$16)))-VLOOKUP(D501-1,D:L,$J$1+(_AusgangswertKURZ="Regionaler Ausgangswert"),FALSE))),0),4)+0.000001</f>
        <v>9.9999999999999995E-7</v>
      </c>
      <c r="H501" s="64">
        <f>E501/'Erkrankungs- und Strukturdaten'!$C$7</f>
        <v>603.44517458310725</v>
      </c>
      <c r="I501" s="64">
        <f t="shared" si="51"/>
        <v>694959.80511299975</v>
      </c>
      <c r="J501" s="64">
        <f t="shared" si="52"/>
        <v>1.3000000000000003E-5</v>
      </c>
      <c r="K501" s="101">
        <f>IFERROR(IF(D501=_Datum,Prognoseparameter!$C$14,
IF(_WachstumsrateKURZ="Bundesweit",IF(D501&gt;_Datum,
         K500+AVERAGE(F497:F500)*(1+_WR)*(1-(K500-VLOOKUP('Erkrankungs- und Strukturdaten'!$C$45,$D:$M,$K$1,FALSE))/$B$16),
         K502-$B$23*F502),
IF(D501&gt;_Datum,K500+G501,IF(G502="",K502/(K502^(1/N501)),K502-G502)))),"")</f>
        <v>6969.7510916142792</v>
      </c>
      <c r="L501" s="64">
        <f>I501/'Erkrankungs- und Strukturdaten'!$C$7</f>
        <v>1263563.2820236357</v>
      </c>
      <c r="M501" s="65">
        <f t="shared" si="53"/>
        <v>4.2284734317637866E-4</v>
      </c>
      <c r="N501" s="163">
        <v>217</v>
      </c>
      <c r="O501" s="222">
        <f t="shared" si="54"/>
        <v>0</v>
      </c>
    </row>
    <row r="502" spans="4:15" x14ac:dyDescent="0.2">
      <c r="D502" s="86">
        <v>44356</v>
      </c>
      <c r="E502" s="64">
        <f t="shared" si="50"/>
        <v>389.19294970039965</v>
      </c>
      <c r="F502" s="101">
        <f>ROUND(IF(_Methodik="Gesamtinf",
AVERAGE(F498:F501)*(1+_WR)*(1-(I501-VLOOKUP('Erkrankungs- und Strukturdaten'!$C$45,$D:$M,$I$1,FALSE))/$B$6),
IF(_Methodik="Neuinf",AVERAGE(F492:F498)*(AVERAGE($F495:$F501)/AVERAGE($F488:$F494))^(1/IF(D502-7&gt;_Datum,1,Prognoseparameter!$T$16)),
(I501)*(1+($B$29*(1-(I501)/$B$6)))-(I501))),4)+0.000001</f>
        <v>304.31370099999998</v>
      </c>
      <c r="G502" s="140">
        <f>ROUND(IFERROR(IF(_Methodik="Gesamtinf",
AVERAGE(G498:G501)*(1+_WR)*(1-(VLOOKUP(D502-1,$D:$M,$J$1+(_AusgangswertKURZ="Regionaler Ausgangswert"),FALSE)-VLOOKUP('Erkrankungs- und Strukturdaten'!$C$45,$D:$M,$J$1+(_AusgangswertKURZ="Regionaler Ausgangswert"),FALSE))/$B$16),
IF(_Methodik="Neuinf",AVERAGE(G492:G498)*(AVERAGE(G495:G501)/AVERAGE(G488:G494))^(1/IF($D502-7&gt;_Datum,1,Prognoseparameter!$T$16)),
VLOOKUP(D502-1,D:L,$J$1+(_AusgangswertKURZ="Regionaler Ausgangswert"),FALSE)*(1+($B$29*(1-VLOOKUP(D502-1,D:L,$J$1+(_AusgangswertKURZ="Regionaler Ausgangswert"),FALSE)/$B$16)))-VLOOKUP(D502-1,D:L,$J$1+(_AusgangswertKURZ="Regionaler Ausgangswert"),FALSE))),0),4)+0.000001</f>
        <v>9.9999999999999995E-7</v>
      </c>
      <c r="H502" s="64">
        <f>E502/'Erkrankungs- und Strukturdaten'!$C$7</f>
        <v>707.6235449098175</v>
      </c>
      <c r="I502" s="64">
        <f t="shared" si="51"/>
        <v>695264.1188139997</v>
      </c>
      <c r="J502" s="64">
        <f t="shared" si="52"/>
        <v>1.4000000000000003E-5</v>
      </c>
      <c r="K502" s="101">
        <f>IFERROR(IF(D502=_Datum,Prognoseparameter!$C$14,
IF(_WachstumsrateKURZ="Bundesweit",IF(D502&gt;_Datum,
         K501+AVERAGE(F498:F501)*(1+_WR)*(1-(K501-VLOOKUP('Erkrankungs- und Strukturdaten'!$C$45,$D:$M,$K$1,FALSE))/$B$16),
         K503-$B$23*F503),
IF(D502&gt;_Datum,K501+G502,IF(G503="",K503/(K503^(1/N502)),K503-G503)))),"")</f>
        <v>7306.3107137442576</v>
      </c>
      <c r="L502" s="64">
        <f>I502/'Erkrankungs- und Strukturdaten'!$C$7</f>
        <v>1264116.5796618175</v>
      </c>
      <c r="M502" s="65">
        <f t="shared" si="53"/>
        <v>4.3788676519279716E-4</v>
      </c>
      <c r="N502" s="163">
        <v>217</v>
      </c>
      <c r="O502" s="222">
        <f t="shared" si="54"/>
        <v>0</v>
      </c>
    </row>
    <row r="503" spans="4:15" x14ac:dyDescent="0.2">
      <c r="D503" s="86">
        <v>44357</v>
      </c>
      <c r="E503" s="64">
        <f t="shared" si="50"/>
        <v>290.49173628590046</v>
      </c>
      <c r="F503" s="101">
        <f>ROUND(IF(_Methodik="Gesamtinf",
AVERAGE(F499:F502)*(1+_WR)*(1-(I502-VLOOKUP('Erkrankungs- und Strukturdaten'!$C$45,$D:$M,$I$1,FALSE))/$B$6),
IF(_Methodik="Neuinf",AVERAGE(F493:F499)*(AVERAGE($F496:$F502)/AVERAGE($F489:$F495))^(1/IF(D503-7&gt;_Datum,1,Prognoseparameter!$T$16)),
(I502)*(1+($B$29*(1-(I502)/$B$6)))-(I502))),4)+0.000001</f>
        <v>292.34610099999998</v>
      </c>
      <c r="G503" s="140">
        <f>ROUND(IFERROR(IF(_Methodik="Gesamtinf",
AVERAGE(G499:G502)*(1+_WR)*(1-(VLOOKUP(D503-1,$D:$M,$J$1+(_AusgangswertKURZ="Regionaler Ausgangswert"),FALSE)-VLOOKUP('Erkrankungs- und Strukturdaten'!$C$45,$D:$M,$J$1+(_AusgangswertKURZ="Regionaler Ausgangswert"),FALSE))/$B$16),
IF(_Methodik="Neuinf",AVERAGE(G493:G499)*(AVERAGE(G496:G502)/AVERAGE(G489:G495))^(1/IF($D503-7&gt;_Datum,1,Prognoseparameter!$T$16)),
VLOOKUP(D503-1,D:L,$J$1+(_AusgangswertKURZ="Regionaler Ausgangswert"),FALSE)*(1+($B$29*(1-VLOOKUP(D503-1,D:L,$J$1+(_AusgangswertKURZ="Regionaler Ausgangswert"),FALSE)/$B$16)))-VLOOKUP(D503-1,D:L,$J$1+(_AusgangswertKURZ="Regionaler Ausgangswert"),FALSE))),0),4)+0.000001</f>
        <v>9.9999999999999995E-7</v>
      </c>
      <c r="H503" s="64">
        <f>E503/'Erkrankungs- und Strukturdaten'!$C$7</f>
        <v>528.16679324709173</v>
      </c>
      <c r="I503" s="64">
        <f t="shared" si="51"/>
        <v>695556.46491499967</v>
      </c>
      <c r="J503" s="64">
        <f t="shared" si="52"/>
        <v>1.5000000000000004E-5</v>
      </c>
      <c r="K503" s="101">
        <f>IFERROR(IF(D503=_Datum,Prognoseparameter!$C$14,
IF(_WachstumsrateKURZ="Bundesweit",IF(D503&gt;_Datum,
         K502+AVERAGE(F499:F502)*(1+_WR)*(1-(K502-VLOOKUP('Erkrankungs- und Strukturdaten'!$C$45,$D:$M,$K$1,FALSE))/$B$16),
         K504-$B$23*F504),
IF(D503&gt;_Datum,K502+G503,IF(G504="",K504/(K504^(1/N503)),K504-G504)))),"")</f>
        <v>7623.3493847015134</v>
      </c>
      <c r="L503" s="64">
        <f>I503/'Erkrankungs- und Strukturdaten'!$C$7</f>
        <v>1264648.1180272719</v>
      </c>
      <c r="M503" s="65">
        <f t="shared" si="53"/>
        <v>4.204820773703461E-4</v>
      </c>
      <c r="N503" s="163">
        <v>217</v>
      </c>
      <c r="O503" s="222">
        <f t="shared" si="54"/>
        <v>0</v>
      </c>
    </row>
    <row r="504" spans="4:15" x14ac:dyDescent="0.2">
      <c r="D504" s="86">
        <v>44358</v>
      </c>
      <c r="E504" s="64">
        <f t="shared" si="50"/>
        <v>310.09724618487513</v>
      </c>
      <c r="F504" s="101">
        <f>ROUND(IF(_Methodik="Gesamtinf",
AVERAGE(F500:F503)*(1+_WR)*(1-(I503-VLOOKUP('Erkrankungs- und Strukturdaten'!$C$45,$D:$M,$I$1,FALSE))/$B$6),
IF(_Methodik="Neuinf",AVERAGE(F494:F500)*(AVERAGE($F497:$F503)/AVERAGE($F490:$F496))^(1/IF(D504-7&gt;_Datum,1,Prognoseparameter!$T$16)),
(I503)*(1+($B$29*(1-(I503)/$B$6)))-(I503))),4)+0.000001</f>
        <v>283.39600100000001</v>
      </c>
      <c r="G504" s="140">
        <f>ROUND(IFERROR(IF(_Methodik="Gesamtinf",
AVERAGE(G500:G503)*(1+_WR)*(1-(VLOOKUP(D504-1,$D:$M,$J$1+(_AusgangswertKURZ="Regionaler Ausgangswert"),FALSE)-VLOOKUP('Erkrankungs- und Strukturdaten'!$C$45,$D:$M,$J$1+(_AusgangswertKURZ="Regionaler Ausgangswert"),FALSE))/$B$16),
IF(_Methodik="Neuinf",AVERAGE(G494:G500)*(AVERAGE(G497:G503)/AVERAGE(G490:G496))^(1/IF($D504-7&gt;_Datum,1,Prognoseparameter!$T$16)),
VLOOKUP(D504-1,D:L,$J$1+(_AusgangswertKURZ="Regionaler Ausgangswert"),FALSE)*(1+($B$29*(1-VLOOKUP(D504-1,D:L,$J$1+(_AusgangswertKURZ="Regionaler Ausgangswert"),FALSE)/$B$16)))-VLOOKUP(D504-1,D:L,$J$1+(_AusgangswertKURZ="Regionaler Ausgangswert"),FALSE))),0),4)+0.000001</f>
        <v>9.9999999999999995E-7</v>
      </c>
      <c r="H504" s="64">
        <f>E504/'Erkrankungs- und Strukturdaten'!$C$7</f>
        <v>563.81317488159107</v>
      </c>
      <c r="I504" s="64">
        <f t="shared" si="51"/>
        <v>695839.86091599963</v>
      </c>
      <c r="J504" s="64">
        <f t="shared" si="52"/>
        <v>1.6000000000000003E-5</v>
      </c>
      <c r="K504" s="101">
        <f>IFERROR(IF(D504=_Datum,Prognoseparameter!$C$14,
IF(_WachstumsrateKURZ="Bundesweit",IF(D504&gt;_Datum,
         K503+AVERAGE(F500:F503)*(1+_WR)*(1-(K503-VLOOKUP('Erkrankungs- und Strukturdaten'!$C$45,$D:$M,$K$1,FALSE))/$B$16),
         K505-$B$23*F505),
IF(D504&gt;_Datum,K503+G504,IF(G505="",K505/(K505^(1/N504)),K505-G505)))),"")</f>
        <v>7924.3085422246304</v>
      </c>
      <c r="L504" s="64">
        <f>I504/'Erkrankungs- und Strukturdaten'!$C$7</f>
        <v>1265163.3834836355</v>
      </c>
      <c r="M504" s="65">
        <f t="shared" si="53"/>
        <v>4.0743780741738872E-4</v>
      </c>
      <c r="N504" s="163">
        <v>217</v>
      </c>
      <c r="O504" s="222">
        <f t="shared" si="54"/>
        <v>0</v>
      </c>
    </row>
    <row r="505" spans="4:15" x14ac:dyDescent="0.2">
      <c r="D505" s="86">
        <v>44359</v>
      </c>
      <c r="E505" s="64">
        <f t="shared" si="50"/>
        <v>191.49895554576258</v>
      </c>
      <c r="F505" s="101">
        <f>ROUND(IF(_Methodik="Gesamtinf",
AVERAGE(F501:F504)*(1+_WR)*(1-(I504-VLOOKUP('Erkrankungs- und Strukturdaten'!$C$45,$D:$M,$I$1,FALSE))/$B$6),
IF(_Methodik="Neuinf",AVERAGE(F495:F501)*(AVERAGE($F498:$F504)/AVERAGE($F491:$F497))^(1/IF(D505-7&gt;_Datum,1,Prognoseparameter!$T$16)),
(I504)*(1+($B$29*(1-(I504)/$B$6)))-(I504))),4)+0.000001</f>
        <v>259.55690099999998</v>
      </c>
      <c r="G505" s="140">
        <f>ROUND(IFERROR(IF(_Methodik="Gesamtinf",
AVERAGE(G501:G504)*(1+_WR)*(1-(VLOOKUP(D505-1,$D:$M,$J$1+(_AusgangswertKURZ="Regionaler Ausgangswert"),FALSE)-VLOOKUP('Erkrankungs- und Strukturdaten'!$C$45,$D:$M,$J$1+(_AusgangswertKURZ="Regionaler Ausgangswert"),FALSE))/$B$16),
IF(_Methodik="Neuinf",AVERAGE(G495:G501)*(AVERAGE(G498:G504)/AVERAGE(G491:G497))^(1/IF($D505-7&gt;_Datum,1,Prognoseparameter!$T$16)),
VLOOKUP(D505-1,D:L,$J$1+(_AusgangswertKURZ="Regionaler Ausgangswert"),FALSE)*(1+($B$29*(1-VLOOKUP(D505-1,D:L,$J$1+(_AusgangswertKURZ="Regionaler Ausgangswert"),FALSE)/$B$16)))-VLOOKUP(D505-1,D:L,$J$1+(_AusgangswertKURZ="Regionaler Ausgangswert"),FALSE))),0),4)+0.000001</f>
        <v>9.9999999999999995E-7</v>
      </c>
      <c r="H505" s="64">
        <f>E505/'Erkrankungs- und Strukturdaten'!$C$7</f>
        <v>348.17991917411376</v>
      </c>
      <c r="I505" s="64">
        <f t="shared" si="51"/>
        <v>696099.4178169996</v>
      </c>
      <c r="J505" s="64">
        <f t="shared" si="52"/>
        <v>1.7000000000000003E-5</v>
      </c>
      <c r="K505" s="101">
        <f>IFERROR(IF(D505=_Datum,Prognoseparameter!$C$14,
IF(_WachstumsrateKURZ="Bundesweit",IF(D505&gt;_Datum,
         K504+AVERAGE(F501:F504)*(1+_WR)*(1-(K504-VLOOKUP('Erkrankungs- und Strukturdaten'!$C$45,$D:$M,$K$1,FALSE))/$B$16),
         K506-$B$23*F506),
IF(D505&gt;_Datum,K504+G505,IF(G506="",K506/(K506^(1/N505)),K506-G506)))),"")</f>
        <v>8217.3587114864622</v>
      </c>
      <c r="L505" s="64">
        <f>I505/'Erkrankungs- und Strukturdaten'!$C$7</f>
        <v>1265635.3051218174</v>
      </c>
      <c r="M505" s="65">
        <f t="shared" si="53"/>
        <v>3.7301240641531404E-4</v>
      </c>
      <c r="N505" s="163">
        <v>217</v>
      </c>
      <c r="O505" s="222">
        <f t="shared" si="54"/>
        <v>0</v>
      </c>
    </row>
    <row r="506" spans="4:15" x14ac:dyDescent="0.2">
      <c r="D506" s="86">
        <v>44360</v>
      </c>
      <c r="E506" s="64">
        <f t="shared" si="50"/>
        <v>135.544488854863</v>
      </c>
      <c r="F506" s="101">
        <f>ROUND(IF(_Methodik="Gesamtinf",
AVERAGE(F502:F505)*(1+_WR)*(1-(I505-VLOOKUP('Erkrankungs- und Strukturdaten'!$C$45,$D:$M,$I$1,FALSE))/$B$6),
IF(_Methodik="Neuinf",AVERAGE(F496:F502)*(AVERAGE($F499:$F505)/AVERAGE($F492:$F498))^(1/IF(D506-7&gt;_Datum,1,Prognoseparameter!$T$16)),
(I505)*(1+($B$29*(1-(I505)/$B$6)))-(I505))),4)+0.000001</f>
        <v>244.977701</v>
      </c>
      <c r="G506" s="140">
        <f>ROUND(IFERROR(IF(_Methodik="Gesamtinf",
AVERAGE(G502:G505)*(1+_WR)*(1-(VLOOKUP(D506-1,$D:$M,$J$1+(_AusgangswertKURZ="Regionaler Ausgangswert"),FALSE)-VLOOKUP('Erkrankungs- und Strukturdaten'!$C$45,$D:$M,$J$1+(_AusgangswertKURZ="Regionaler Ausgangswert"),FALSE))/$B$16),
IF(_Methodik="Neuinf",AVERAGE(G496:G502)*(AVERAGE(G499:G505)/AVERAGE(G492:G498))^(1/IF($D506-7&gt;_Datum,1,Prognoseparameter!$T$16)),
VLOOKUP(D506-1,D:L,$J$1+(_AusgangswertKURZ="Regionaler Ausgangswert"),FALSE)*(1+($B$29*(1-VLOOKUP(D506-1,D:L,$J$1+(_AusgangswertKURZ="Regionaler Ausgangswert"),FALSE)/$B$16)))-VLOOKUP(D506-1,D:L,$J$1+(_AusgangswertKURZ="Regionaler Ausgangswert"),FALSE))),0),4)+0.000001</f>
        <v>9.9999999999999995E-7</v>
      </c>
      <c r="H506" s="64">
        <f>E506/'Erkrankungs- und Strukturdaten'!$C$7</f>
        <v>246.44452519065999</v>
      </c>
      <c r="I506" s="64">
        <f t="shared" si="51"/>
        <v>696344.39551799966</v>
      </c>
      <c r="J506" s="64">
        <f t="shared" si="52"/>
        <v>1.8000000000000004E-5</v>
      </c>
      <c r="K506" s="101">
        <f>IFERROR(IF(D506=_Datum,Prognoseparameter!$C$14,
IF(_WachstumsrateKURZ="Bundesweit",IF(D506&gt;_Datum,
         K505+AVERAGE(F502:F505)*(1+_WR)*(1-(K505-VLOOKUP('Erkrankungs- und Strukturdaten'!$C$45,$D:$M,$K$1,FALSE))/$B$16),
         K507-$B$23*F507),
IF(D506&gt;_Datum,K505+G506,IF(G507="",K507/(K507^(1/N506)),K507-G507)))),"")</f>
        <v>8501.8498698095136</v>
      </c>
      <c r="L506" s="64">
        <f>I506/'Erkrankungs- und Strukturdaten'!$C$7</f>
        <v>1266080.7191236357</v>
      </c>
      <c r="M506" s="65">
        <f t="shared" si="53"/>
        <v>3.5192918529987561E-4</v>
      </c>
      <c r="N506" s="163">
        <v>217</v>
      </c>
      <c r="O506" s="222">
        <f t="shared" si="54"/>
        <v>0</v>
      </c>
    </row>
    <row r="507" spans="4:15" x14ac:dyDescent="0.2">
      <c r="D507" s="86">
        <v>44361</v>
      </c>
      <c r="E507" s="64">
        <f t="shared" si="50"/>
        <v>273.69008562686093</v>
      </c>
      <c r="F507" s="101">
        <f>ROUND(IF(_Methodik="Gesamtinf",
AVERAGE(F503:F506)*(1+_WR)*(1-(I506-VLOOKUP('Erkrankungs- und Strukturdaten'!$C$45,$D:$M,$I$1,FALSE))/$B$6),
IF(_Methodik="Neuinf",AVERAGE(F497:F503)*(AVERAGE($F500:$F506)/AVERAGE($F493:$F499))^(1/IF(D507-7&gt;_Datum,1,Prognoseparameter!$T$16)),
(I506)*(1+($B$29*(1-(I506)/$B$6)))-(I506))),4)+0.000001</f>
        <v>225.776501</v>
      </c>
      <c r="G507" s="140">
        <f>ROUND(IFERROR(IF(_Methodik="Gesamtinf",
AVERAGE(G503:G506)*(1+_WR)*(1-(VLOOKUP(D507-1,$D:$M,$J$1+(_AusgangswertKURZ="Regionaler Ausgangswert"),FALSE)-VLOOKUP('Erkrankungs- und Strukturdaten'!$C$45,$D:$M,$J$1+(_AusgangswertKURZ="Regionaler Ausgangswert"),FALSE))/$B$16),
IF(_Methodik="Neuinf",AVERAGE(G497:G503)*(AVERAGE(G500:G506)/AVERAGE(G493:G499))^(1/IF($D507-7&gt;_Datum,1,Prognoseparameter!$T$16)),
VLOOKUP(D507-1,D:L,$J$1+(_AusgangswertKURZ="Regionaler Ausgangswert"),FALSE)*(1+($B$29*(1-VLOOKUP(D507-1,D:L,$J$1+(_AusgangswertKURZ="Regionaler Ausgangswert"),FALSE)/$B$16)))-VLOOKUP(D507-1,D:L,$J$1+(_AusgangswertKURZ="Regionaler Ausgangswert"),FALSE))),0),4)+0.000001</f>
        <v>9.9999999999999995E-7</v>
      </c>
      <c r="H507" s="64">
        <f>E507/'Erkrankungs- und Strukturdaten'!$C$7</f>
        <v>497.61833750338349</v>
      </c>
      <c r="I507" s="64">
        <f t="shared" si="51"/>
        <v>696570.1720189997</v>
      </c>
      <c r="J507" s="64">
        <f t="shared" si="52"/>
        <v>1.9000000000000004E-5</v>
      </c>
      <c r="K507" s="101">
        <f>IFERROR(IF(D507=_Datum,Prognoseparameter!$C$14,
IF(_WachstumsrateKURZ="Bundesweit",IF(D507&gt;_Datum,
         K506+AVERAGE(F503:F506)*(1+_WR)*(1-(K506-VLOOKUP('Erkrankungs- und Strukturdaten'!$C$45,$D:$M,$K$1,FALSE))/$B$16),
         K508-$B$23*F508),
IF(D507&gt;_Datum,K506+G507,IF(G508="",K508/(K508^(1/N507)),K508-G508)))),"")</f>
        <v>8771.5051001370612</v>
      </c>
      <c r="L507" s="64">
        <f>I507/'Erkrankungs- und Strukturdaten'!$C$7</f>
        <v>1266491.2218527265</v>
      </c>
      <c r="M507" s="65">
        <f t="shared" si="53"/>
        <v>3.2423108802662561E-4</v>
      </c>
      <c r="N507" s="163">
        <v>217</v>
      </c>
      <c r="O507" s="222">
        <f t="shared" si="54"/>
        <v>0</v>
      </c>
    </row>
    <row r="508" spans="4:15" x14ac:dyDescent="0.2">
      <c r="D508" s="86">
        <v>44362</v>
      </c>
      <c r="E508" s="64">
        <f t="shared" si="50"/>
        <v>240.50621713523137</v>
      </c>
      <c r="F508" s="101">
        <f>ROUND(IF(_Methodik="Gesamtinf",
AVERAGE(F504:F507)*(1+_WR)*(1-(I507-VLOOKUP('Erkrankungs- und Strukturdaten'!$C$45,$D:$M,$I$1,FALSE))/$B$6),
IF(_Methodik="Neuinf",AVERAGE(F498:F504)*(AVERAGE($F501:$F507)/AVERAGE($F494:$F500))^(1/IF(D508-7&gt;_Datum,1,Prognoseparameter!$T$16)),
(I507)*(1+($B$29*(1-(I507)/$B$6)))-(I507))),4)+0.000001</f>
        <v>212.85580099999999</v>
      </c>
      <c r="G508" s="140">
        <f>ROUND(IFERROR(IF(_Methodik="Gesamtinf",
AVERAGE(G504:G507)*(1+_WR)*(1-(VLOOKUP(D508-1,$D:$M,$J$1+(_AusgangswertKURZ="Regionaler Ausgangswert"),FALSE)-VLOOKUP('Erkrankungs- und Strukturdaten'!$C$45,$D:$M,$J$1+(_AusgangswertKURZ="Regionaler Ausgangswert"),FALSE))/$B$16),
IF(_Methodik="Neuinf",AVERAGE(G498:G504)*(AVERAGE(G501:G507)/AVERAGE(G494:G500))^(1/IF($D508-7&gt;_Datum,1,Prognoseparameter!$T$16)),
VLOOKUP(D508-1,D:L,$J$1+(_AusgangswertKURZ="Regionaler Ausgangswert"),FALSE)*(1+($B$29*(1-VLOOKUP(D508-1,D:L,$J$1+(_AusgangswertKURZ="Regionaler Ausgangswert"),FALSE)/$B$16)))-VLOOKUP(D508-1,D:L,$J$1+(_AusgangswertKURZ="Regionaler Ausgangswert"),FALSE))),0),4)+0.000001</f>
        <v>9.9999999999999995E-7</v>
      </c>
      <c r="H508" s="64">
        <f>E508/'Erkrankungs- und Strukturdaten'!$C$7</f>
        <v>437.2840311549661</v>
      </c>
      <c r="I508" s="64">
        <f t="shared" si="51"/>
        <v>696783.02781999973</v>
      </c>
      <c r="J508" s="64">
        <f t="shared" si="52"/>
        <v>2.0000000000000005E-5</v>
      </c>
      <c r="K508" s="101">
        <f>IFERROR(IF(D508=_Datum,Prognoseparameter!$C$14,
IF(_WachstumsrateKURZ="Bundesweit",IF(D508&gt;_Datum,
         K507+AVERAGE(F504:F507)*(1+_WR)*(1-(K507-VLOOKUP('Erkrankungs- und Strukturdaten'!$C$45,$D:$M,$K$1,FALSE))/$B$16),
         K509-$B$23*F509),
IF(D508&gt;_Datum,K507+G508,IF(G509="",K509/(K509^(1/N508)),K509-G509)))),"")</f>
        <v>9024.5226433835905</v>
      </c>
      <c r="L508" s="64">
        <f>I508/'Erkrankungs- und Strukturdaten'!$C$7</f>
        <v>1266878.2323999994</v>
      </c>
      <c r="M508" s="65">
        <f t="shared" si="53"/>
        <v>3.0557696776344469E-4</v>
      </c>
      <c r="N508" s="163">
        <v>217</v>
      </c>
      <c r="O508" s="222">
        <f t="shared" si="54"/>
        <v>0</v>
      </c>
    </row>
    <row r="509" spans="4:15" x14ac:dyDescent="0.2">
      <c r="D509" s="86">
        <v>44363</v>
      </c>
      <c r="E509" s="64">
        <f t="shared" si="50"/>
        <v>264.15611572021083</v>
      </c>
      <c r="F509" s="101">
        <f>ROUND(IF(_Methodik="Gesamtinf",
AVERAGE(F505:F508)*(1+_WR)*(1-(I508-VLOOKUP('Erkrankungs- und Strukturdaten'!$C$45,$D:$M,$I$1,FALSE))/$B$6),
IF(_Methodik="Neuinf",AVERAGE(F499:F505)*(AVERAGE($F502:$F508)/AVERAGE($F495:$F501))^(1/IF(D509-7&gt;_Datum,1,Prognoseparameter!$T$16)),
(I508)*(1+($B$29*(1-(I508)/$B$6)))-(I508))),4)+0.000001</f>
        <v>206.546201</v>
      </c>
      <c r="G509" s="140">
        <f>ROUND(IFERROR(IF(_Methodik="Gesamtinf",
AVERAGE(G505:G508)*(1+_WR)*(1-(VLOOKUP(D509-1,$D:$M,$J$1+(_AusgangswertKURZ="Regionaler Ausgangswert"),FALSE)-VLOOKUP('Erkrankungs- und Strukturdaten'!$C$45,$D:$M,$J$1+(_AusgangswertKURZ="Regionaler Ausgangswert"),FALSE))/$B$16),
IF(_Methodik="Neuinf",AVERAGE(G499:G505)*(AVERAGE(G502:G508)/AVERAGE(G495:G501))^(1/IF($D509-7&gt;_Datum,1,Prognoseparameter!$T$16)),
VLOOKUP(D509-1,D:L,$J$1+(_AusgangswertKURZ="Regionaler Ausgangswert"),FALSE)*(1+($B$29*(1-VLOOKUP(D509-1,D:L,$J$1+(_AusgangswertKURZ="Regionaler Ausgangswert"),FALSE)/$B$16)))-VLOOKUP(D509-1,D:L,$J$1+(_AusgangswertKURZ="Regionaler Ausgangswert"),FALSE))),0),4)+0.000001</f>
        <v>9.9999999999999995E-7</v>
      </c>
      <c r="H509" s="64">
        <f>E509/'Erkrankungs- und Strukturdaten'!$C$7</f>
        <v>480.28384676401964</v>
      </c>
      <c r="I509" s="64">
        <f t="shared" si="51"/>
        <v>696989.57402099972</v>
      </c>
      <c r="J509" s="64">
        <f t="shared" si="52"/>
        <v>2.1000000000000006E-5</v>
      </c>
      <c r="K509" s="101">
        <f>IFERROR(IF(D509=_Datum,Prognoseparameter!$C$14,
IF(_WachstumsrateKURZ="Bundesweit",IF(D509&gt;_Datum,
         K508+AVERAGE(F505:F508)*(1+_WR)*(1-(K508-VLOOKUP('Erkrankungs- und Strukturdaten'!$C$45,$D:$M,$K$1,FALSE))/$B$16),
         K510-$B$23*F510),
IF(D509&gt;_Datum,K508+G509,IF(G510="",K510/(K510^(1/N509)),K510-G510)))),"")</f>
        <v>9259.9154589926493</v>
      </c>
      <c r="L509" s="64">
        <f>I509/'Erkrankungs- und Strukturdaten'!$C$7</f>
        <v>1267253.7709472722</v>
      </c>
      <c r="M509" s="65">
        <f t="shared" si="53"/>
        <v>2.9642828937180609E-4</v>
      </c>
      <c r="N509" s="163">
        <v>217</v>
      </c>
      <c r="O509" s="222">
        <f t="shared" si="54"/>
        <v>0</v>
      </c>
    </row>
    <row r="510" spans="4:15" x14ac:dyDescent="0.2">
      <c r="D510" s="86">
        <v>44364</v>
      </c>
      <c r="E510" s="64">
        <f t="shared" si="50"/>
        <v>192.68737404005674</v>
      </c>
      <c r="F510" s="101">
        <f>ROUND(IF(_Methodik="Gesamtinf",
AVERAGE(F506:F509)*(1+_WR)*(1-(I509-VLOOKUP('Erkrankungs- und Strukturdaten'!$C$45,$D:$M,$I$1,FALSE))/$B$6),
IF(_Methodik="Neuinf",AVERAGE(F500:F506)*(AVERAGE($F503:$F509)/AVERAGE($F496:$F502))^(1/IF(D510-7&gt;_Datum,1,Prognoseparameter!$T$16)),
(I509)*(1+($B$29*(1-(I509)/$B$6)))-(I509))),4)+0.000001</f>
        <v>193.91740099999998</v>
      </c>
      <c r="G510" s="140">
        <f>ROUND(IFERROR(IF(_Methodik="Gesamtinf",
AVERAGE(G506:G509)*(1+_WR)*(1-(VLOOKUP(D510-1,$D:$M,$J$1+(_AusgangswertKURZ="Regionaler Ausgangswert"),FALSE)-VLOOKUP('Erkrankungs- und Strukturdaten'!$C$45,$D:$M,$J$1+(_AusgangswertKURZ="Regionaler Ausgangswert"),FALSE))/$B$16),
IF(_Methodik="Neuinf",AVERAGE(G500:G506)*(AVERAGE(G503:G509)/AVERAGE(G496:G502))^(1/IF($D510-7&gt;_Datum,1,Prognoseparameter!$T$16)),
VLOOKUP(D510-1,D:L,$J$1+(_AusgangswertKURZ="Regionaler Ausgangswert"),FALSE)*(1+($B$29*(1-VLOOKUP(D510-1,D:L,$J$1+(_AusgangswertKURZ="Regionaler Ausgangswert"),FALSE)/$B$16)))-VLOOKUP(D510-1,D:L,$J$1+(_AusgangswertKURZ="Regionaler Ausgangswert"),FALSE))),0),4)+0.000001</f>
        <v>9.9999999999999995E-7</v>
      </c>
      <c r="H510" s="64">
        <f>E510/'Erkrankungs- und Strukturdaten'!$C$7</f>
        <v>350.34068007283042</v>
      </c>
      <c r="I510" s="64">
        <f t="shared" si="51"/>
        <v>697183.49142199976</v>
      </c>
      <c r="J510" s="64">
        <f t="shared" si="52"/>
        <v>2.2000000000000006E-5</v>
      </c>
      <c r="K510" s="101">
        <f>IFERROR(IF(D510=_Datum,Prognoseparameter!$C$14,
IF(_WachstumsrateKURZ="Bundesweit",IF(D510&gt;_Datum,
         K509+AVERAGE(F506:F509)*(1+_WR)*(1-(K509-VLOOKUP('Erkrankungs- und Strukturdaten'!$C$45,$D:$M,$K$1,FALSE))/$B$16),
         K511-$B$23*F511),
IF(D510&gt;_Datum,K509+G510,IF(G511="",K511/(K511^(1/N510)),K511-G511)))),"")</f>
        <v>9482.0620796261574</v>
      </c>
      <c r="L510" s="64">
        <f>I510/'Erkrankungs- und Strukturdaten'!$C$7</f>
        <v>1267606.3480399994</v>
      </c>
      <c r="M510" s="65">
        <f t="shared" si="53"/>
        <v>2.7822137981392515E-4</v>
      </c>
      <c r="N510" s="163">
        <v>217</v>
      </c>
      <c r="O510" s="222">
        <f t="shared" si="54"/>
        <v>0</v>
      </c>
    </row>
    <row r="511" spans="4:15" x14ac:dyDescent="0.2">
      <c r="D511" s="86">
        <v>44365</v>
      </c>
      <c r="E511" s="64">
        <f t="shared" si="50"/>
        <v>204.08746386720151</v>
      </c>
      <c r="F511" s="101">
        <f>ROUND(IF(_Methodik="Gesamtinf",
AVERAGE(F507:F510)*(1+_WR)*(1-(I510-VLOOKUP('Erkrankungs- und Strukturdaten'!$C$45,$D:$M,$I$1,FALSE))/$B$6),
IF(_Methodik="Neuinf",AVERAGE(F501:F507)*(AVERAGE($F504:$F510)/AVERAGE($F497:$F503))^(1/IF(D511-7&gt;_Datum,1,Prognoseparameter!$T$16)),
(I510)*(1+($B$29*(1-(I510)/$B$6)))-(I510))),4)+0.000001</f>
        <v>186.51430099999999</v>
      </c>
      <c r="G511" s="140">
        <f>ROUND(IFERROR(IF(_Methodik="Gesamtinf",
AVERAGE(G507:G510)*(1+_WR)*(1-(VLOOKUP(D511-1,$D:$M,$J$1+(_AusgangswertKURZ="Regionaler Ausgangswert"),FALSE)-VLOOKUP('Erkrankungs- und Strukturdaten'!$C$45,$D:$M,$J$1+(_AusgangswertKURZ="Regionaler Ausgangswert"),FALSE))/$B$16),
IF(_Methodik="Neuinf",AVERAGE(G501:G507)*(AVERAGE(G504:G510)/AVERAGE(G497:G503))^(1/IF($D511-7&gt;_Datum,1,Prognoseparameter!$T$16)),
VLOOKUP(D511-1,D:L,$J$1+(_AusgangswertKURZ="Regionaler Ausgangswert"),FALSE)*(1+($B$29*(1-VLOOKUP(D511-1,D:L,$J$1+(_AusgangswertKURZ="Regionaler Ausgangswert"),FALSE)/$B$16)))-VLOOKUP(D511-1,D:L,$J$1+(_AusgangswertKURZ="Regionaler Ausgangswert"),FALSE))),0),4)+0.000001</f>
        <v>9.9999999999999995E-7</v>
      </c>
      <c r="H511" s="64">
        <f>E511/'Erkrankungs- und Strukturdaten'!$C$7</f>
        <v>371.06811612218451</v>
      </c>
      <c r="I511" s="64">
        <f t="shared" si="51"/>
        <v>697370.00572299981</v>
      </c>
      <c r="J511" s="64">
        <f t="shared" si="52"/>
        <v>2.3000000000000007E-5</v>
      </c>
      <c r="K511" s="101">
        <f>IFERROR(IF(D511=_Datum,Prognoseparameter!$C$14,
IF(_WachstumsrateKURZ="Bundesweit",IF(D511&gt;_Datum,
         K510+AVERAGE(F507:F510)*(1+_WR)*(1-(K510-VLOOKUP('Erkrankungs- und Strukturdaten'!$C$45,$D:$M,$K$1,FALSE))/$B$16),
         K512-$B$23*F512),
IF(D511&gt;_Datum,K510+G511,IF(G512="",K512/(K512^(1/N511)),K512-G512)))),"")</f>
        <v>9691.4519546956835</v>
      </c>
      <c r="L511" s="64">
        <f>I511/'Erkrankungs- und Strukturdaten'!$C$7</f>
        <v>1267945.4649509087</v>
      </c>
      <c r="M511" s="65">
        <f t="shared" si="53"/>
        <v>2.6752541231236769E-4</v>
      </c>
      <c r="N511" s="163">
        <v>217</v>
      </c>
      <c r="O511" s="222">
        <f t="shared" si="54"/>
        <v>0</v>
      </c>
    </row>
    <row r="512" spans="4:15" x14ac:dyDescent="0.2">
      <c r="D512" s="86">
        <v>44366</v>
      </c>
      <c r="E512" s="64">
        <f t="shared" si="50"/>
        <v>131.99125049739325</v>
      </c>
      <c r="F512" s="101">
        <f>ROUND(IF(_Methodik="Gesamtinf",
AVERAGE(F508:F511)*(1+_WR)*(1-(I511-VLOOKUP('Erkrankungs- und Strukturdaten'!$C$45,$D:$M,$I$1,FALSE))/$B$6),
IF(_Methodik="Neuinf",AVERAGE(F502:F508)*(AVERAGE($F505:$F511)/AVERAGE($F498:$F504))^(1/IF(D512-7&gt;_Datum,1,Prognoseparameter!$T$16)),
(I511)*(1+($B$29*(1-(I511)/$B$6)))-(I511))),4)+0.000001</f>
        <v>178.90040099999999</v>
      </c>
      <c r="G512" s="140">
        <f>ROUND(IFERROR(IF(_Methodik="Gesamtinf",
AVERAGE(G508:G511)*(1+_WR)*(1-(VLOOKUP(D512-1,$D:$M,$J$1+(_AusgangswertKURZ="Regionaler Ausgangswert"),FALSE)-VLOOKUP('Erkrankungs- und Strukturdaten'!$C$45,$D:$M,$J$1+(_AusgangswertKURZ="Regionaler Ausgangswert"),FALSE))/$B$16),
IF(_Methodik="Neuinf",AVERAGE(G502:G508)*(AVERAGE(G505:G511)/AVERAGE(G498:G504))^(1/IF($D512-7&gt;_Datum,1,Prognoseparameter!$T$16)),
VLOOKUP(D512-1,D:L,$J$1+(_AusgangswertKURZ="Regionaler Ausgangswert"),FALSE)*(1+($B$29*(1-VLOOKUP(D512-1,D:L,$J$1+(_AusgangswertKURZ="Regionaler Ausgangswert"),FALSE)/$B$16)))-VLOOKUP(D512-1,D:L,$J$1+(_AusgangswertKURZ="Regionaler Ausgangswert"),FALSE))),0),4)+0.000001</f>
        <v>9.9999999999999995E-7</v>
      </c>
      <c r="H512" s="64">
        <f>E512/'Erkrankungs- und Strukturdaten'!$C$7</f>
        <v>239.98409181344226</v>
      </c>
      <c r="I512" s="64">
        <f t="shared" si="51"/>
        <v>697548.90612399986</v>
      </c>
      <c r="J512" s="64">
        <f t="shared" si="52"/>
        <v>2.4000000000000007E-5</v>
      </c>
      <c r="K512" s="101">
        <f>IFERROR(IF(D512=_Datum,Prognoseparameter!$C$14,
IF(_WachstumsrateKURZ="Bundesweit",IF(D512&gt;_Datum,
         K511+AVERAGE(F508:F511)*(1+_WR)*(1-(K511-VLOOKUP('Erkrankungs- und Strukturdaten'!$C$45,$D:$M,$K$1,FALSE))/$B$16),
         K513-$B$23*F513),
IF(D512&gt;_Datum,K511+G512,IF(G513="",K513/(K513^(1/N512)),K513-G513)))),"")</f>
        <v>9891.0315112374428</v>
      </c>
      <c r="L512" s="64">
        <f>I512/'Erkrankungs- und Strukturdaten'!$C$7</f>
        <v>1268270.7384072724</v>
      </c>
      <c r="M512" s="65">
        <f t="shared" si="53"/>
        <v>2.5653584113439825E-4</v>
      </c>
      <c r="N512" s="163">
        <v>217</v>
      </c>
      <c r="O512" s="222">
        <f t="shared" si="54"/>
        <v>0</v>
      </c>
    </row>
    <row r="513" spans="4:15" x14ac:dyDescent="0.2">
      <c r="D513" s="86">
        <v>44367</v>
      </c>
      <c r="E513" s="64">
        <f t="shared" si="50"/>
        <v>93.915319339135721</v>
      </c>
      <c r="F513" s="101">
        <f>ROUND(IF(_Methodik="Gesamtinf",
AVERAGE(F509:F512)*(1+_WR)*(1-(I512-VLOOKUP('Erkrankungs- und Strukturdaten'!$C$45,$D:$M,$I$1,FALSE))/$B$6),
IF(_Methodik="Neuinf",AVERAGE(F503:F509)*(AVERAGE($F506:$F512)/AVERAGE($F499:$F505))^(1/IF(D513-7&gt;_Datum,1,Prognoseparameter!$T$16)),
(I512)*(1+($B$29*(1-(I512)/$B$6)))-(I512))),4)+0.000001</f>
        <v>169.738801</v>
      </c>
      <c r="G513" s="140">
        <f>ROUND(IFERROR(IF(_Methodik="Gesamtinf",
AVERAGE(G509:G512)*(1+_WR)*(1-(VLOOKUP(D513-1,$D:$M,$J$1+(_AusgangswertKURZ="Regionaler Ausgangswert"),FALSE)-VLOOKUP('Erkrankungs- und Strukturdaten'!$C$45,$D:$M,$J$1+(_AusgangswertKURZ="Regionaler Ausgangswert"),FALSE))/$B$16),
IF(_Methodik="Neuinf",AVERAGE(G503:G509)*(AVERAGE(G506:G512)/AVERAGE(G499:G505))^(1/IF($D513-7&gt;_Datum,1,Prognoseparameter!$T$16)),
VLOOKUP(D513-1,D:L,$J$1+(_AusgangswertKURZ="Regionaler Ausgangswert"),FALSE)*(1+($B$29*(1-VLOOKUP(D513-1,D:L,$J$1+(_AusgangswertKURZ="Regionaler Ausgangswert"),FALSE)/$B$16)))-VLOOKUP(D513-1,D:L,$J$1+(_AusgangswertKURZ="Regionaler Ausgangswert"),FALSE))),0),4)+0.000001</f>
        <v>9.9999999999999995E-7</v>
      </c>
      <c r="H513" s="64">
        <f>E513/'Erkrankungs- und Strukturdaten'!$C$7</f>
        <v>170.75512607115584</v>
      </c>
      <c r="I513" s="64">
        <f t="shared" si="51"/>
        <v>697718.64492499991</v>
      </c>
      <c r="J513" s="64">
        <f t="shared" si="52"/>
        <v>2.5000000000000008E-5</v>
      </c>
      <c r="K513" s="101">
        <f>IFERROR(IF(D513=_Datum,Prognoseparameter!$C$14,
IF(_WachstumsrateKURZ="Bundesweit",IF(D513&gt;_Datum,
         K512+AVERAGE(F509:F512)*(1+_WR)*(1-(K512-VLOOKUP('Erkrankungs- und Strukturdaten'!$C$45,$D:$M,$K$1,FALSE))/$B$16),
         K514-$B$23*F514),
IF(D513&gt;_Datum,K512+G513,IF(G514="",K514/(K514^(1/N513)),K514-G514)))),"")</f>
        <v>10082.126673424211</v>
      </c>
      <c r="L513" s="64">
        <f>I513/'Erkrankungs- und Strukturdaten'!$C$7</f>
        <v>1268579.3544090907</v>
      </c>
      <c r="M513" s="65">
        <f t="shared" si="53"/>
        <v>2.4333605788765165E-4</v>
      </c>
      <c r="N513" s="163">
        <v>217</v>
      </c>
      <c r="O513" s="222">
        <f t="shared" si="54"/>
        <v>0</v>
      </c>
    </row>
    <row r="514" spans="4:15" x14ac:dyDescent="0.2">
      <c r="D514" s="86">
        <v>44368</v>
      </c>
      <c r="E514" s="64">
        <f t="shared" si="50"/>
        <v>194.25460447352719</v>
      </c>
      <c r="F514" s="101">
        <f>ROUND(IF(_Methodik="Gesamtinf",
AVERAGE(F510:F513)*(1+_WR)*(1-(I513-VLOOKUP('Erkrankungs- und Strukturdaten'!$C$45,$D:$M,$I$1,FALSE))/$B$6),
IF(_Methodik="Neuinf",AVERAGE(F504:F510)*(AVERAGE($F507:$F513)/AVERAGE($F500:$F506))^(1/IF(D514-7&gt;_Datum,1,Prognoseparameter!$T$16)),
(I513)*(1+($B$29*(1-(I513)/$B$6)))-(I513))),4)+0.000001</f>
        <v>160.247401</v>
      </c>
      <c r="G514" s="140">
        <f>ROUND(IFERROR(IF(_Methodik="Gesamtinf",
AVERAGE(G510:G513)*(1+_WR)*(1-(VLOOKUP(D514-1,$D:$M,$J$1+(_AusgangswertKURZ="Regionaler Ausgangswert"),FALSE)-VLOOKUP('Erkrankungs- und Strukturdaten'!$C$45,$D:$M,$J$1+(_AusgangswertKURZ="Regionaler Ausgangswert"),FALSE))/$B$16),
IF(_Methodik="Neuinf",AVERAGE(G504:G510)*(AVERAGE(G507:G513)/AVERAGE(G500:G506))^(1/IF($D514-7&gt;_Datum,1,Prognoseparameter!$T$16)),
VLOOKUP(D514-1,D:L,$J$1+(_AusgangswertKURZ="Regionaler Ausgangswert"),FALSE)*(1+($B$29*(1-VLOOKUP(D514-1,D:L,$J$1+(_AusgangswertKURZ="Regionaler Ausgangswert"),FALSE)/$B$16)))-VLOOKUP(D514-1,D:L,$J$1+(_AusgangswertKURZ="Regionaler Ausgangswert"),FALSE))),0),4)+0.000001</f>
        <v>9.9999999999999995E-7</v>
      </c>
      <c r="H514" s="64">
        <f>E514/'Erkrankungs- und Strukturdaten'!$C$7</f>
        <v>353.19018995186758</v>
      </c>
      <c r="I514" s="64">
        <f t="shared" si="51"/>
        <v>697878.89232599991</v>
      </c>
      <c r="J514" s="64">
        <f t="shared" si="52"/>
        <v>2.6000000000000009E-5</v>
      </c>
      <c r="K514" s="101">
        <f>IFERROR(IF(D514=_Datum,Prognoseparameter!$C$14,
IF(_WachstumsrateKURZ="Bundesweit",IF(D514&gt;_Datum,
         K513+AVERAGE(F510:F513)*(1+_WR)*(1-(K513-VLOOKUP('Erkrankungs- und Strukturdaten'!$C$45,$D:$M,$K$1,FALSE))/$B$16),
         K515-$B$23*F515),
IF(D514&gt;_Datum,K513+G514,IF(G515="",K515/(K515^(1/N514)),K515-G515)))),"")</f>
        <v>10264.027380505573</v>
      </c>
      <c r="L514" s="64">
        <f>I514/'Erkrankungs- und Strukturdaten'!$C$7</f>
        <v>1268870.7133199996</v>
      </c>
      <c r="M514" s="65">
        <f t="shared" si="53"/>
        <v>2.2967338219437444E-4</v>
      </c>
      <c r="N514" s="163">
        <v>217</v>
      </c>
      <c r="O514" s="222">
        <f t="shared" si="54"/>
        <v>0</v>
      </c>
    </row>
    <row r="515" spans="4:15" x14ac:dyDescent="0.2">
      <c r="D515" s="86">
        <v>44369</v>
      </c>
      <c r="E515" s="64">
        <f t="shared" si="50"/>
        <v>169.7584138826102</v>
      </c>
      <c r="F515" s="101">
        <f>ROUND(IF(_Methodik="Gesamtinf",
AVERAGE(F511:F514)*(1+_WR)*(1-(I514-VLOOKUP('Erkrankungs- und Strukturdaten'!$C$45,$D:$M,$I$1,FALSE))/$B$6),
IF(_Methodik="Neuinf",AVERAGE(F505:F511)*(AVERAGE($F508:$F514)/AVERAGE($F501:$F507))^(1/IF(D515-7&gt;_Datum,1,Prognoseparameter!$T$16)),
(I514)*(1+($B$29*(1-(I514)/$B$6)))-(I514))),4)+0.000001</f>
        <v>150.24170100000001</v>
      </c>
      <c r="G515" s="140">
        <f>ROUND(IFERROR(IF(_Methodik="Gesamtinf",
AVERAGE(G511:G514)*(1+_WR)*(1-(VLOOKUP(D515-1,$D:$M,$J$1+(_AusgangswertKURZ="Regionaler Ausgangswert"),FALSE)-VLOOKUP('Erkrankungs- und Strukturdaten'!$C$45,$D:$M,$J$1+(_AusgangswertKURZ="Regionaler Ausgangswert"),FALSE))/$B$16),
IF(_Methodik="Neuinf",AVERAGE(G505:G511)*(AVERAGE(G508:G514)/AVERAGE(G501:G507))^(1/IF($D515-7&gt;_Datum,1,Prognoseparameter!$T$16)),
VLOOKUP(D515-1,D:L,$J$1+(_AusgangswertKURZ="Regionaler Ausgangswert"),FALSE)*(1+($B$29*(1-VLOOKUP(D515-1,D:L,$J$1+(_AusgangswertKURZ="Regionaler Ausgangswert"),FALSE)/$B$16)))-VLOOKUP(D515-1,D:L,$J$1+(_AusgangswertKURZ="Regionaler Ausgangswert"),FALSE))),0),4)+0.000001</f>
        <v>9.9999999999999995E-7</v>
      </c>
      <c r="H515" s="64">
        <f>E515/'Erkrankungs- und Strukturdaten'!$C$7</f>
        <v>308.65166160474581</v>
      </c>
      <c r="I515" s="64">
        <f t="shared" si="51"/>
        <v>698029.13402699993</v>
      </c>
      <c r="J515" s="64">
        <f t="shared" si="52"/>
        <v>2.7000000000000009E-5</v>
      </c>
      <c r="K515" s="101">
        <f>IFERROR(IF(D515=_Datum,Prognoseparameter!$C$14,
IF(_WachstumsrateKURZ="Bundesweit",IF(D515&gt;_Datum,
         K514+AVERAGE(F511:F514)*(1+_WR)*(1-(K514-VLOOKUP('Erkrankungs- und Strukturdaten'!$C$45,$D:$M,$K$1,FALSE))/$B$16),
         K516-$B$23*F516),
IF(D515&gt;_Datum,K514+G515,IF(G516="",K516/(K516^(1/N515)),K516-G516)))),"")</f>
        <v>10437.517914099286</v>
      </c>
      <c r="L515" s="64">
        <f>I515/'Erkrankungs- und Strukturdaten'!$C$7</f>
        <v>1269143.8800490906</v>
      </c>
      <c r="M515" s="65">
        <f t="shared" si="53"/>
        <v>2.1528334307299623E-4</v>
      </c>
      <c r="N515" s="163">
        <v>217</v>
      </c>
      <c r="O515" s="222">
        <f t="shared" si="54"/>
        <v>0</v>
      </c>
    </row>
    <row r="516" spans="4:15" x14ac:dyDescent="0.2">
      <c r="D516" s="86">
        <v>44370</v>
      </c>
      <c r="E516" s="64">
        <f t="shared" ref="E516:E523" si="55">IF(_AusgangswertKURZ="Bevölkerungsanteil",
$B$26*IF(F516=ROUNDDOWN(F516,0),F516,F516*VLOOKUP(WEEKDAY($D516,1),$A$51:$B$57,$B$1,FALSE)),
$B$17*IF(G516=ROUNDDOWN(G516,0),G516,G516*VLOOKUP(WEEKDAY($D516,1),$A$51:$B$57,$B$1,FALSE)))</f>
        <v>180.99867583143137</v>
      </c>
      <c r="F516" s="101">
        <f>ROUND(IF(_Methodik="Gesamtinf",
AVERAGE(F512:F515)*(1+_WR)*(1-(I515-VLOOKUP('Erkrankungs- und Strukturdaten'!$C$45,$D:$M,$I$1,FALSE))/$B$6),
IF(_Methodik="Neuinf",AVERAGE(F506:F512)*(AVERAGE($F509:$F515)/AVERAGE($F502:$F508))^(1/IF(D516-7&gt;_Datum,1,Prognoseparameter!$T$16)),
(I515)*(1+($B$29*(1-(I515)/$B$6)))-(I515))),4)+0.000001</f>
        <v>141.52460099999999</v>
      </c>
      <c r="G516" s="140">
        <f>ROUND(IFERROR(IF(_Methodik="Gesamtinf",
AVERAGE(G512:G515)*(1+_WR)*(1-(VLOOKUP(D516-1,$D:$M,$J$1+(_AusgangswertKURZ="Regionaler Ausgangswert"),FALSE)-VLOOKUP('Erkrankungs- und Strukturdaten'!$C$45,$D:$M,$J$1+(_AusgangswertKURZ="Regionaler Ausgangswert"),FALSE))/$B$16),
IF(_Methodik="Neuinf",AVERAGE(G506:G512)*(AVERAGE(G509:G515)/AVERAGE(G502:G508))^(1/IF($D516-7&gt;_Datum,1,Prognoseparameter!$T$16)),
VLOOKUP(D516-1,D:L,$J$1+(_AusgangswertKURZ="Regionaler Ausgangswert"),FALSE)*(1+($B$29*(1-VLOOKUP(D516-1,D:L,$J$1+(_AusgangswertKURZ="Regionaler Ausgangswert"),FALSE)/$B$16)))-VLOOKUP(D516-1,D:L,$J$1+(_AusgangswertKURZ="Regionaler Ausgangswert"),FALSE))),0),4)+0.000001</f>
        <v>9.9999999999999995E-7</v>
      </c>
      <c r="H516" s="64">
        <f>E516/'Erkrankungs- und Strukturdaten'!$C$7</f>
        <v>329.08850151169338</v>
      </c>
      <c r="I516" s="64">
        <f t="shared" si="51"/>
        <v>698170.65862799995</v>
      </c>
      <c r="J516" s="64">
        <f t="shared" si="52"/>
        <v>2.800000000000001E-5</v>
      </c>
      <c r="K516" s="101">
        <f>IFERROR(IF(D516=_Datum,Prognoseparameter!$C$14,
IF(_WachstumsrateKURZ="Bundesweit",IF(D516&gt;_Datum,
         K515+AVERAGE(F512:F515)*(1+_WR)*(1-(K515-VLOOKUP('Erkrankungs- und Strukturdaten'!$C$45,$D:$M,$K$1,FALSE))/$B$16),
         K517-$B$23*F517),
IF(D516&gt;_Datum,K515+G516,IF(G517="",K517/(K517^(1/N516)),K517-G517)))),"")</f>
        <v>10601.950359993956</v>
      </c>
      <c r="L516" s="64">
        <f>I516/'Erkrankungs- und Strukturdaten'!$C$7</f>
        <v>1269401.1975054543</v>
      </c>
      <c r="M516" s="65">
        <f t="shared" si="53"/>
        <v>2.0274884542933374E-4</v>
      </c>
      <c r="N516" s="163">
        <v>217</v>
      </c>
      <c r="O516" s="222">
        <f t="shared" si="54"/>
        <v>0</v>
      </c>
    </row>
    <row r="517" spans="4:15" x14ac:dyDescent="0.2">
      <c r="D517" s="86">
        <v>44371</v>
      </c>
      <c r="E517" s="64">
        <f t="shared" si="55"/>
        <v>133.53080219854598</v>
      </c>
      <c r="F517" s="101">
        <f>ROUND(IF(_Methodik="Gesamtinf",
AVERAGE(F513:F516)*(1+_WR)*(1-(I516-VLOOKUP('Erkrankungs- und Strukturdaten'!$C$45,$D:$M,$I$1,FALSE))/$B$6),
IF(_Methodik="Neuinf",AVERAGE(F507:F513)*(AVERAGE($F510:$F516)/AVERAGE($F503:$F509))^(1/IF(D517-7&gt;_Datum,1,Prognoseparameter!$T$16)),
(I516)*(1+($B$29*(1-(I516)/$B$6)))-(I516))),4)+0.000001</f>
        <v>134.38320099999999</v>
      </c>
      <c r="G517" s="140">
        <f>ROUND(IFERROR(IF(_Methodik="Gesamtinf",
AVERAGE(G513:G516)*(1+_WR)*(1-(VLOOKUP(D517-1,$D:$M,$J$1+(_AusgangswertKURZ="Regionaler Ausgangswert"),FALSE)-VLOOKUP('Erkrankungs- und Strukturdaten'!$C$45,$D:$M,$J$1+(_AusgangswertKURZ="Regionaler Ausgangswert"),FALSE))/$B$16),
IF(_Methodik="Neuinf",AVERAGE(G507:G513)*(AVERAGE(G510:G516)/AVERAGE(G503:G509))^(1/IF($D517-7&gt;_Datum,1,Prognoseparameter!$T$16)),
VLOOKUP(D517-1,D:L,$J$1+(_AusgangswertKURZ="Regionaler Ausgangswert"),FALSE)*(1+($B$29*(1-VLOOKUP(D517-1,D:L,$J$1+(_AusgangswertKURZ="Regionaler Ausgangswert"),FALSE)/$B$16)))-VLOOKUP(D517-1,D:L,$J$1+(_AusgangswertKURZ="Regionaler Ausgangswert"),FALSE))),0),4)+0.000001</f>
        <v>9.9999999999999995E-7</v>
      </c>
      <c r="H517" s="64">
        <f>E517/'Erkrankungs- und Strukturdaten'!$C$7</f>
        <v>242.78327672462905</v>
      </c>
      <c r="I517" s="64">
        <f t="shared" si="51"/>
        <v>698305.04182899999</v>
      </c>
      <c r="J517" s="64">
        <f t="shared" si="52"/>
        <v>2.900000000000001E-5</v>
      </c>
      <c r="K517" s="101">
        <f>IFERROR(IF(D517=_Datum,Prognoseparameter!$C$14,
IF(_WachstumsrateKURZ="Bundesweit",IF(D517&gt;_Datum,
         K516+AVERAGE(F513:F516)*(1+_WR)*(1-(K516-VLOOKUP('Erkrankungs- und Strukturdaten'!$C$45,$D:$M,$K$1,FALSE))/$B$16),
         K518-$B$23*F518),
IF(D517&gt;_Datum,K516+G517,IF(G518="",K518/(K518^(1/N517)),K518-G518)))),"")</f>
        <v>10757.050903876036</v>
      </c>
      <c r="L517" s="64">
        <f>I517/'Erkrankungs- und Strukturdaten'!$C$7</f>
        <v>1269645.5305981818</v>
      </c>
      <c r="M517" s="65">
        <f t="shared" si="53"/>
        <v>1.9247901546611692E-4</v>
      </c>
      <c r="N517" s="163">
        <v>217</v>
      </c>
      <c r="O517" s="222">
        <f t="shared" si="54"/>
        <v>0</v>
      </c>
    </row>
    <row r="518" spans="4:15" x14ac:dyDescent="0.2">
      <c r="D518" s="86">
        <v>44372</v>
      </c>
      <c r="E518" s="64">
        <f t="shared" si="55"/>
        <v>141.01887781610958</v>
      </c>
      <c r="F518" s="101">
        <f>ROUND(IF(_Methodik="Gesamtinf",
AVERAGE(F514:F517)*(1+_WR)*(1-(I517-VLOOKUP('Erkrankungs- und Strukturdaten'!$C$45,$D:$M,$I$1,FALSE))/$B$6),
IF(_Methodik="Neuinf",AVERAGE(F508:F514)*(AVERAGE($F511:$F517)/AVERAGE($F504:$F510))^(1/IF(D518-7&gt;_Datum,1,Prognoseparameter!$T$16)),
(I517)*(1+($B$29*(1-(I517)/$B$6)))-(I517))),4)+0.000001</f>
        <v>128.87630099999998</v>
      </c>
      <c r="G518" s="140">
        <f>ROUND(IFERROR(IF(_Methodik="Gesamtinf",
AVERAGE(G514:G517)*(1+_WR)*(1-(VLOOKUP(D518-1,$D:$M,$J$1+(_AusgangswertKURZ="Regionaler Ausgangswert"),FALSE)-VLOOKUP('Erkrankungs- und Strukturdaten'!$C$45,$D:$M,$J$1+(_AusgangswertKURZ="Regionaler Ausgangswert"),FALSE))/$B$16),
IF(_Methodik="Neuinf",AVERAGE(G508:G514)*(AVERAGE(G511:G517)/AVERAGE(G504:G510))^(1/IF($D518-7&gt;_Datum,1,Prognoseparameter!$T$16)),
VLOOKUP(D518-1,D:L,$J$1+(_AusgangswertKURZ="Regionaler Ausgangswert"),FALSE)*(1+($B$29*(1-VLOOKUP(D518-1,D:L,$J$1+(_AusgangswertKURZ="Regionaler Ausgangswert"),FALSE)/$B$16)))-VLOOKUP(D518-1,D:L,$J$1+(_AusgangswertKURZ="Regionaler Ausgangswert"),FALSE))),0),4)+0.000001</f>
        <v>9.9999999999999995E-7</v>
      </c>
      <c r="H518" s="64">
        <f>E518/'Erkrankungs- und Strukturdaten'!$C$7</f>
        <v>256.39795966565379</v>
      </c>
      <c r="I518" s="64">
        <f t="shared" ref="I518:I523" si="56">I517+F518</f>
        <v>698433.91813000001</v>
      </c>
      <c r="J518" s="64">
        <f t="shared" si="52"/>
        <v>3.0000000000000011E-5</v>
      </c>
      <c r="K518" s="101">
        <f>IFERROR(IF(D518=_Datum,Prognoseparameter!$C$14,
IF(_WachstumsrateKURZ="Bundesweit",IF(D518&gt;_Datum,
         K517+AVERAGE(F514:F517)*(1+_WR)*(1-(K517-VLOOKUP('Erkrankungs- und Strukturdaten'!$C$45,$D:$M,$K$1,FALSE))/$B$16),
         K519-$B$23*F519),
IF(D518&gt;_Datum,K517+G518,IF(G519="",K519/(K519^(1/N518)),K519-G519)))),"")</f>
        <v>10903.324825003056</v>
      </c>
      <c r="L518" s="64">
        <f>I518/'Erkrankungs- und Strukturdaten'!$C$7</f>
        <v>1269879.8511454544</v>
      </c>
      <c r="M518" s="65">
        <f t="shared" si="53"/>
        <v>1.8455587927943131E-4</v>
      </c>
      <c r="N518" s="163">
        <v>217</v>
      </c>
      <c r="O518" s="222">
        <f t="shared" si="54"/>
        <v>0</v>
      </c>
    </row>
    <row r="519" spans="4:15" x14ac:dyDescent="0.2">
      <c r="D519" s="86">
        <v>44373</v>
      </c>
      <c r="E519" s="64">
        <f t="shared" si="55"/>
        <v>91.31966545134101</v>
      </c>
      <c r="F519" s="101">
        <f>ROUND(IF(_Methodik="Gesamtinf",
AVERAGE(F515:F518)*(1+_WR)*(1-(I518-VLOOKUP('Erkrankungs- und Strukturdaten'!$C$45,$D:$M,$I$1,FALSE))/$B$6),
IF(_Methodik="Neuinf",AVERAGE(F509:F515)*(AVERAGE($F512:$F518)/AVERAGE($F505:$F511))^(1/IF(D519-7&gt;_Datum,1,Prognoseparameter!$T$16)),
(I518)*(1+($B$29*(1-(I518)/$B$6)))-(I518))),4)+0.000001</f>
        <v>123.77430099999999</v>
      </c>
      <c r="G519" s="140">
        <f>ROUND(IFERROR(IF(_Methodik="Gesamtinf",
AVERAGE(G515:G518)*(1+_WR)*(1-(VLOOKUP(D519-1,$D:$M,$J$1+(_AusgangswertKURZ="Regionaler Ausgangswert"),FALSE)-VLOOKUP('Erkrankungs- und Strukturdaten'!$C$45,$D:$M,$J$1+(_AusgangswertKURZ="Regionaler Ausgangswert"),FALSE))/$B$16),
IF(_Methodik="Neuinf",AVERAGE(G509:G515)*(AVERAGE(G512:G518)/AVERAGE(G505:G511))^(1/IF($D519-7&gt;_Datum,1,Prognoseparameter!$T$16)),
VLOOKUP(D519-1,D:L,$J$1+(_AusgangswertKURZ="Regionaler Ausgangswert"),FALSE)*(1+($B$29*(1-VLOOKUP(D519-1,D:L,$J$1+(_AusgangswertKURZ="Regionaler Ausgangswert"),FALSE)/$B$16)))-VLOOKUP(D519-1,D:L,$J$1+(_AusgangswertKURZ="Regionaler Ausgangswert"),FALSE))),0),4)+0.000001</f>
        <v>9.9999999999999995E-7</v>
      </c>
      <c r="H519" s="64">
        <f>E519/'Erkrankungs- und Strukturdaten'!$C$7</f>
        <v>166.03575536607454</v>
      </c>
      <c r="I519" s="64">
        <f t="shared" si="56"/>
        <v>698557.69243100006</v>
      </c>
      <c r="J519" s="64">
        <f t="shared" si="52"/>
        <v>3.1000000000000008E-5</v>
      </c>
      <c r="K519" s="101">
        <f>IFERROR(IF(D519=_Datum,Prognoseparameter!$C$14,
IF(_WachstumsrateKURZ="Bundesweit",IF(D519&gt;_Datum,
         K518+AVERAGE(F515:F518)*(1+_WR)*(1-(K518-VLOOKUP('Erkrankungs- und Strukturdaten'!$C$45,$D:$M,$K$1,FALSE))/$B$16),
         K520-$B$23*F520),
IF(D519&gt;_Datum,K518+G519,IF(G520="",K520/(K520^(1/N519)),K520-G520)))),"")</f>
        <v>11041.767198002479</v>
      </c>
      <c r="L519" s="64">
        <f>I519/'Erkrankungs- und Strukturdaten'!$C$7</f>
        <v>1270104.895329091</v>
      </c>
      <c r="M519" s="65">
        <f t="shared" si="53"/>
        <v>1.7721691027184285E-4</v>
      </c>
      <c r="N519" s="163">
        <v>217</v>
      </c>
      <c r="O519" s="222">
        <f t="shared" si="54"/>
        <v>0</v>
      </c>
    </row>
    <row r="520" spans="4:15" x14ac:dyDescent="0.2">
      <c r="D520" s="86">
        <v>44374</v>
      </c>
      <c r="E520" s="64">
        <f t="shared" si="55"/>
        <v>64.971502340352203</v>
      </c>
      <c r="F520" s="101">
        <f>ROUND(IF(_Methodik="Gesamtinf",
AVERAGE(F516:F519)*(1+_WR)*(1-(I519-VLOOKUP('Erkrankungs- und Strukturdaten'!$C$45,$D:$M,$I$1,FALSE))/$B$6),
IF(_Methodik="Neuinf",AVERAGE(F510:F516)*(AVERAGE($F513:$F519)/AVERAGE($F506:$F512))^(1/IF(D520-7&gt;_Datum,1,Prognoseparameter!$T$16)),
(I519)*(1+($B$29*(1-(I519)/$B$6)))-(I519))),4)+0.000001</f>
        <v>117.426901</v>
      </c>
      <c r="G520" s="140">
        <f>ROUND(IFERROR(IF(_Methodik="Gesamtinf",
AVERAGE(G516:G519)*(1+_WR)*(1-(VLOOKUP(D520-1,$D:$M,$J$1+(_AusgangswertKURZ="Regionaler Ausgangswert"),FALSE)-VLOOKUP('Erkrankungs- und Strukturdaten'!$C$45,$D:$M,$J$1+(_AusgangswertKURZ="Regionaler Ausgangswert"),FALSE))/$B$16),
IF(_Methodik="Neuinf",AVERAGE(G510:G516)*(AVERAGE(G513:G519)/AVERAGE(G506:G512))^(1/IF($D520-7&gt;_Datum,1,Prognoseparameter!$T$16)),
VLOOKUP(D520-1,D:L,$J$1+(_AusgangswertKURZ="Regionaler Ausgangswert"),FALSE)*(1+($B$29*(1-VLOOKUP(D520-1,D:L,$J$1+(_AusgangswertKURZ="Regionaler Ausgangswert"),FALSE)/$B$16)))-VLOOKUP(D520-1,D:L,$J$1+(_AusgangswertKURZ="Regionaler Ausgangswert"),FALSE))),0),4)+0.000001</f>
        <v>9.9999999999999995E-7</v>
      </c>
      <c r="H520" s="64">
        <f>E520/'Erkrankungs- und Strukturdaten'!$C$7</f>
        <v>118.13000425518581</v>
      </c>
      <c r="I520" s="64">
        <f t="shared" si="56"/>
        <v>698675.11933200003</v>
      </c>
      <c r="J520" s="64">
        <f t="shared" si="52"/>
        <v>3.2000000000000005E-5</v>
      </c>
      <c r="K520" s="101">
        <f>IFERROR(IF(D520=_Datum,Prognoseparameter!$C$14,
IF(_WachstumsrateKURZ="Bundesweit",IF(D520&gt;_Datum,
         K519+AVERAGE(F516:F519)*(1+_WR)*(1-(K519-VLOOKUP('Erkrankungs- und Strukturdaten'!$C$45,$D:$M,$K$1,FALSE))/$B$16),
         K521-$B$23*F521),
IF(D520&gt;_Datum,K519+G520,IF(G521="",K521/(K521^(1/N520)),K521-G521)))),"")</f>
        <v>11173.602131505741</v>
      </c>
      <c r="L520" s="64">
        <f>I520/'Erkrankungs- und Strukturdaten'!$C$7</f>
        <v>1270318.3987854545</v>
      </c>
      <c r="M520" s="65">
        <f t="shared" si="53"/>
        <v>1.6809907366608612E-4</v>
      </c>
      <c r="N520" s="163">
        <v>217</v>
      </c>
      <c r="O520" s="222">
        <f t="shared" si="54"/>
        <v>0</v>
      </c>
    </row>
    <row r="521" spans="4:15" x14ac:dyDescent="0.2">
      <c r="D521" s="86">
        <v>44375</v>
      </c>
      <c r="E521" s="64">
        <f t="shared" si="55"/>
        <v>135.17891192877832</v>
      </c>
      <c r="F521" s="101">
        <f>ROUND(IF(_Methodik="Gesamtinf",
AVERAGE(F517:F520)*(1+_WR)*(1-(I520-VLOOKUP('Erkrankungs- und Strukturdaten'!$C$45,$D:$M,$I$1,FALSE))/$B$6),
IF(_Methodik="Neuinf",AVERAGE(F511:F517)*(AVERAGE($F514:$F520)/AVERAGE($F507:$F513))^(1/IF(D521-7&gt;_Datum,1,Prognoseparameter!$T$16)),
(I520)*(1+($B$29*(1-(I520)/$B$6)))-(I520))),4)+0.000001</f>
        <v>111.513801</v>
      </c>
      <c r="G521" s="140">
        <f>ROUND(IFERROR(IF(_Methodik="Gesamtinf",
AVERAGE(G517:G520)*(1+_WR)*(1-(VLOOKUP(D521-1,$D:$M,$J$1+(_AusgangswertKURZ="Regionaler Ausgangswert"),FALSE)-VLOOKUP('Erkrankungs- und Strukturdaten'!$C$45,$D:$M,$J$1+(_AusgangswertKURZ="Regionaler Ausgangswert"),FALSE))/$B$16),
IF(_Methodik="Neuinf",AVERAGE(G511:G517)*(AVERAGE(G514:G520)/AVERAGE(G507:G513))^(1/IF($D521-7&gt;_Datum,1,Prognoseparameter!$T$16)),
VLOOKUP(D521-1,D:L,$J$1+(_AusgangswertKURZ="Regionaler Ausgangswert"),FALSE)*(1+($B$29*(1-VLOOKUP(D521-1,D:L,$J$1+(_AusgangswertKURZ="Regionaler Ausgangswert"),FALSE)/$B$16)))-VLOOKUP(D521-1,D:L,$J$1+(_AusgangswertKURZ="Regionaler Ausgangswert"),FALSE))),0),4)+0.000001</f>
        <v>9.9999999999999995E-7</v>
      </c>
      <c r="H521" s="64">
        <f>E521/'Erkrankungs- und Strukturdaten'!$C$7</f>
        <v>245.77983987050601</v>
      </c>
      <c r="I521" s="64">
        <f t="shared" si="56"/>
        <v>698786.633133</v>
      </c>
      <c r="J521" s="64">
        <f t="shared" si="52"/>
        <v>3.3000000000000003E-5</v>
      </c>
      <c r="K521" s="101">
        <f>IFERROR(IF(D521=_Datum,Prognoseparameter!$C$14,
IF(_WachstumsrateKURZ="Bundesweit",IF(D521&gt;_Datum,
         K520+AVERAGE(F517:F520)*(1+_WR)*(1-(K520-VLOOKUP('Erkrankungs- und Strukturdaten'!$C$45,$D:$M,$K$1,FALSE))/$B$16),
         K522-$B$23*F522),
IF(D521&gt;_Datum,K520+G521,IF(G522="",K522/(K522^(1/N521)),K522-G522)))),"")</f>
        <v>11299.421470726063</v>
      </c>
      <c r="L521" s="64">
        <f>I521/'Erkrankungs- und Strukturdaten'!$C$7</f>
        <v>1270521.151150909</v>
      </c>
      <c r="M521" s="65">
        <f t="shared" si="53"/>
        <v>1.5960751701961623E-4</v>
      </c>
      <c r="N521" s="163">
        <v>217</v>
      </c>
      <c r="O521" s="222">
        <f t="shared" si="54"/>
        <v>0</v>
      </c>
    </row>
    <row r="522" spans="4:15" x14ac:dyDescent="0.2">
      <c r="D522" s="86">
        <v>44376</v>
      </c>
      <c r="E522" s="64">
        <f t="shared" si="55"/>
        <v>119.11428080319178</v>
      </c>
      <c r="F522" s="101">
        <f>ROUND(IF(_Methodik="Gesamtinf",
AVERAGE(F518:F521)*(1+_WR)*(1-(I521-VLOOKUP('Erkrankungs- und Strukturdaten'!$C$45,$D:$M,$I$1,FALSE))/$B$6),
IF(_Methodik="Neuinf",AVERAGE(F512:F518)*(AVERAGE($F515:$F521)/AVERAGE($F508:$F514))^(1/IF(D522-7&gt;_Datum,1,Prognoseparameter!$T$16)),
(I521)*(1+($B$29*(1-(I521)/$B$6)))-(I521))),4)+0.000001</f>
        <v>105.420001</v>
      </c>
      <c r="G522" s="140">
        <f>ROUND(IFERROR(IF(_Methodik="Gesamtinf",
AVERAGE(G518:G521)*(1+_WR)*(1-(VLOOKUP(D522-1,$D:$M,$J$1+(_AusgangswertKURZ="Regionaler Ausgangswert"),FALSE)-VLOOKUP('Erkrankungs- und Strukturdaten'!$C$45,$D:$M,$J$1+(_AusgangswertKURZ="Regionaler Ausgangswert"),FALSE))/$B$16),
IF(_Methodik="Neuinf",AVERAGE(G512:G518)*(AVERAGE(G515:G521)/AVERAGE(G508:G514))^(1/IF($D522-7&gt;_Datum,1,Prognoseparameter!$T$16)),
VLOOKUP(D522-1,D:L,$J$1+(_AusgangswertKURZ="Regionaler Ausgangswert"),FALSE)*(1+($B$29*(1-VLOOKUP(D522-1,D:L,$J$1+(_AusgangswertKURZ="Regionaler Ausgangswert"),FALSE)/$B$16)))-VLOOKUP(D522-1,D:L,$J$1+(_AusgangswertKURZ="Regionaler Ausgangswert"),FALSE))),0),4)+0.000001</f>
        <v>9.9999999999999995E-7</v>
      </c>
      <c r="H522" s="64">
        <f>E522/'Erkrankungs- und Strukturdaten'!$C$7</f>
        <v>216.57141964216686</v>
      </c>
      <c r="I522" s="64">
        <f t="shared" si="56"/>
        <v>698892.05313400005</v>
      </c>
      <c r="J522" s="64">
        <f t="shared" si="52"/>
        <v>3.4E-5</v>
      </c>
      <c r="K522" s="101">
        <f>IFERROR(IF(D522=_Datum,Prognoseparameter!$C$14,
IF(_WachstumsrateKURZ="Bundesweit",IF(D522&gt;_Datum,
         K521+AVERAGE(F518:F521)*(1+_WR)*(1-(K521-VLOOKUP('Erkrankungs- und Strukturdaten'!$C$45,$D:$M,$K$1,FALSE))/$B$16),
         K523-$B$23*F523),
IF(D522&gt;_Datum,K521+G522,IF(G523="",K523/(K523^(1/N522)),K523-G523)))),"")</f>
        <v>11419.532261791062</v>
      </c>
      <c r="L522" s="64">
        <f>I522/'Erkrankungs- und Strukturdaten'!$C$7</f>
        <v>1270712.82388</v>
      </c>
      <c r="M522" s="65">
        <f t="shared" si="53"/>
        <v>1.508615019257029E-4</v>
      </c>
      <c r="N522" s="163">
        <v>217</v>
      </c>
      <c r="O522" s="222">
        <f t="shared" si="54"/>
        <v>0</v>
      </c>
    </row>
    <row r="523" spans="4:15" x14ac:dyDescent="0.2">
      <c r="D523" s="86">
        <v>44377</v>
      </c>
      <c r="E523" s="64">
        <f t="shared" si="55"/>
        <v>127.6320201979957</v>
      </c>
      <c r="F523" s="101">
        <f>ROUND(IF(_Methodik="Gesamtinf",
AVERAGE(F519:F522)*(1+_WR)*(1-(I522-VLOOKUP('Erkrankungs- und Strukturdaten'!$C$45,$D:$M,$I$1,FALSE))/$B$6),
IF(_Methodik="Neuinf",AVERAGE(F513:F519)*(AVERAGE($F516:$F522)/AVERAGE($F509:$F515))^(1/IF(D523-7&gt;_Datum,1,Prognoseparameter!$T$16)),
(I522)*(1+($B$29*(1-(I522)/$B$6)))-(I522))),4)+0.000001</f>
        <v>99.796700999999999</v>
      </c>
      <c r="G523" s="140">
        <f>ROUND(IFERROR(IF(_Methodik="Gesamtinf",
AVERAGE(G519:G522)*(1+_WR)*(1-(VLOOKUP(D523-1,$D:$M,$J$1+(_AusgangswertKURZ="Regionaler Ausgangswert"),FALSE)-VLOOKUP('Erkrankungs- und Strukturdaten'!$C$45,$D:$M,$J$1+(_AusgangswertKURZ="Regionaler Ausgangswert"),FALSE))/$B$16),
IF(_Methodik="Neuinf",AVERAGE(G513:G519)*(AVERAGE(G516:G522)/AVERAGE(G509:G515))^(1/IF($D523-7&gt;_Datum,1,Prognoseparameter!$T$16)),
VLOOKUP(D523-1,D:L,$J$1+(_AusgangswertKURZ="Regionaler Ausgangswert"),FALSE)*(1+($B$29*(1-VLOOKUP(D523-1,D:L,$J$1+(_AusgangswertKURZ="Regionaler Ausgangswert"),FALSE)/$B$16)))-VLOOKUP(D523-1,D:L,$J$1+(_AusgangswertKURZ="Regionaler Ausgangswert"),FALSE))),0),4)+0.000001</f>
        <v>9.9999999999999995E-7</v>
      </c>
      <c r="H523" s="64">
        <f>E523/'Erkrankungs- und Strukturdaten'!$C$7</f>
        <v>232.05821854181033</v>
      </c>
      <c r="I523" s="64">
        <f t="shared" si="56"/>
        <v>698991.849835</v>
      </c>
      <c r="J523" s="64">
        <f t="shared" ref="J523" si="57">J522+G523</f>
        <v>3.4999999999999997E-5</v>
      </c>
      <c r="K523" s="101">
        <f>IFERROR(IF(D523=_Datum,Prognoseparameter!$C$14,
IF(_WachstumsrateKURZ="Bundesweit",IF(D523&gt;_Datum,
         K522+AVERAGE(F519:F522)*(1+_WR)*(1-(K522-VLOOKUP('Erkrankungs- und Strukturdaten'!$C$45,$D:$M,$K$1,FALSE))/$B$16),
         K524-$B$23*F524),
IF(D523&gt;_Datum,K522+G523,IF(G524="",K524/(K524^(1/N523)),K524-G524)))),"")</f>
        <v>11533.788771885253</v>
      </c>
      <c r="L523" s="64">
        <f>I523/'Erkrankungs- und Strukturdaten'!$C$7</f>
        <v>1270894.2724272725</v>
      </c>
      <c r="M523" s="65">
        <f t="shared" ref="M523" si="58">IFERROR((I523-I522)/I522,0)</f>
        <v>1.4279272536072378E-4</v>
      </c>
      <c r="N523" s="163">
        <v>217</v>
      </c>
      <c r="O523" s="222">
        <f t="shared" ref="O523" si="59">IF(F523=ROUNDDOWN(F523,0),1,0)</f>
        <v>0</v>
      </c>
    </row>
  </sheetData>
  <sheetProtection password="8C78" sheet="1" objects="1" scenarios="1"/>
  <mergeCells count="7">
    <mergeCell ref="M2:M3"/>
    <mergeCell ref="D2:D3"/>
    <mergeCell ref="A2:B3"/>
    <mergeCell ref="A21:B22"/>
    <mergeCell ref="F2:H2"/>
    <mergeCell ref="I2:L2"/>
    <mergeCell ref="A10:B11"/>
  </mergeCells>
  <conditionalFormatting sqref="F4:F220">
    <cfRule type="expression" dxfId="23" priority="51">
      <formula>(D4&lt;=_Datum)</formula>
    </cfRule>
  </conditionalFormatting>
  <conditionalFormatting sqref="G4:G220">
    <cfRule type="expression" dxfId="22" priority="36">
      <formula>(D4&lt;=_Datum)</formula>
    </cfRule>
  </conditionalFormatting>
  <conditionalFormatting sqref="E4:E523">
    <cfRule type="expression" dxfId="21" priority="31">
      <formula>(D4&gt;_Datum)</formula>
    </cfRule>
  </conditionalFormatting>
  <conditionalFormatting sqref="F4:F220">
    <cfRule type="expression" dxfId="20" priority="27">
      <formula>(D4&lt;=_Datum)</formula>
    </cfRule>
  </conditionalFormatting>
  <conditionalFormatting sqref="F78:F79">
    <cfRule type="expression" dxfId="19" priority="26">
      <formula>(D78&lt;=_Datum)</formula>
    </cfRule>
  </conditionalFormatting>
  <conditionalFormatting sqref="F5">
    <cfRule type="expression" dxfId="18" priority="25">
      <formula>(D5&lt;=_Datum)</formula>
    </cfRule>
  </conditionalFormatting>
  <conditionalFormatting sqref="F221:F523">
    <cfRule type="expression" dxfId="17" priority="23">
      <formula>(D221&lt;=_Datum)</formula>
    </cfRule>
  </conditionalFormatting>
  <conditionalFormatting sqref="K262:K523">
    <cfRule type="expression" dxfId="16" priority="24">
      <formula>#REF!=1</formula>
    </cfRule>
  </conditionalFormatting>
  <conditionalFormatting sqref="G221:G523">
    <cfRule type="expression" dxfId="15" priority="22">
      <formula>(D221&lt;=_Datum)</formula>
    </cfRule>
  </conditionalFormatting>
  <conditionalFormatting sqref="F221:F523">
    <cfRule type="expression" dxfId="14" priority="20">
      <formula>(D221&lt;=_Datum)</formula>
    </cfRule>
  </conditionalFormatting>
  <conditionalFormatting sqref="K4:K261">
    <cfRule type="expression" dxfId="13" priority="1">
      <formula>#REF!=1</formula>
    </cfRule>
  </conditionalFormatting>
  <pageMargins left="0.7" right="0.7" top="0.78740157499999996" bottom="0.78740157499999996" header="0.3" footer="0.3"/>
  <pageSetup paperSize="9" scale="66"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2">
    <tabColor rgb="FFC00000"/>
    <pageSetUpPr fitToPage="1"/>
  </sheetPr>
  <dimension ref="A1:AG171"/>
  <sheetViews>
    <sheetView showGridLines="0" zoomScale="83" zoomScaleNormal="83" zoomScaleSheetLayoutView="70" zoomScalePageLayoutView="30" workbookViewId="0">
      <pane xSplit="2" ySplit="65" topLeftCell="C66" activePane="bottomRight" state="frozen"/>
      <selection pane="topRight" activeCell="C1" sqref="C1"/>
      <selection pane="bottomLeft" activeCell="A66" sqref="A66"/>
      <selection pane="bottomRight" activeCell="H69" sqref="H69"/>
    </sheetView>
  </sheetViews>
  <sheetFormatPr baseColWidth="10" defaultColWidth="11.42578125" defaultRowHeight="14.25" x14ac:dyDescent="0.2"/>
  <cols>
    <col min="1" max="1" width="1.28515625" style="42" customWidth="1"/>
    <col min="2" max="2" width="4.7109375" style="42" customWidth="1"/>
    <col min="3" max="3" width="22" style="1" customWidth="1"/>
    <col min="4" max="5" width="21" style="1" customWidth="1"/>
    <col min="6" max="6" width="1.85546875" style="25" customWidth="1"/>
    <col min="7" max="7" width="1.28515625" style="1" customWidth="1"/>
    <col min="8" max="11" width="21" style="1" customWidth="1"/>
    <col min="12" max="12" width="1.28515625" style="1" customWidth="1"/>
    <col min="13" max="13" width="1.85546875" style="1" customWidth="1"/>
    <col min="14" max="14" width="1.28515625" style="1" customWidth="1"/>
    <col min="15" max="18" width="21" style="1" customWidth="1"/>
    <col min="19" max="19" width="1.28515625" style="1" customWidth="1"/>
    <col min="20" max="20" width="1.85546875" style="50" customWidth="1"/>
    <col min="21" max="28" width="11.42578125" style="1" customWidth="1"/>
    <col min="29" max="16384" width="11.42578125" style="1"/>
  </cols>
  <sheetData>
    <row r="1" spans="1:33" ht="14.85" customHeight="1" x14ac:dyDescent="0.2">
      <c r="B1" s="374" t="str">
        <f>"Covid-19-Szenario-Rechner für den Strukturbedarf in "&amp;_Krankenhäusern&amp;": Ergebnis"&amp;IF(Prognoseparameter!C19="",""," für "&amp;Prognoseparameter!C19)</f>
        <v>Covid-19-Szenario-Rechner für den Strukturbedarf in Spitälern: Ergebnis</v>
      </c>
      <c r="C1" s="374"/>
      <c r="D1" s="374"/>
      <c r="E1" s="374"/>
      <c r="F1" s="374"/>
      <c r="G1" s="374"/>
      <c r="H1" s="374"/>
      <c r="I1" s="374"/>
      <c r="J1" s="374"/>
      <c r="K1" s="374"/>
      <c r="L1" s="374"/>
      <c r="Q1" s="380" t="s">
        <v>120</v>
      </c>
      <c r="S1" s="50"/>
      <c r="T1" s="1"/>
      <c r="AD1" s="103"/>
      <c r="AE1" s="103"/>
      <c r="AF1" s="103"/>
      <c r="AG1" s="103"/>
    </row>
    <row r="2" spans="1:33" ht="14.85" customHeight="1" x14ac:dyDescent="0.2">
      <c r="B2" s="374"/>
      <c r="C2" s="374"/>
      <c r="D2" s="374"/>
      <c r="E2" s="374"/>
      <c r="F2" s="374"/>
      <c r="G2" s="374"/>
      <c r="H2" s="374"/>
      <c r="I2" s="374"/>
      <c r="J2" s="374"/>
      <c r="K2" s="374"/>
      <c r="L2" s="374"/>
      <c r="Q2" s="380"/>
      <c r="S2" s="50"/>
      <c r="T2" s="1"/>
      <c r="AD2" s="103"/>
      <c r="AE2" s="103"/>
      <c r="AF2" s="103"/>
      <c r="AG2" s="103"/>
    </row>
    <row r="3" spans="1:33" ht="14.85" customHeight="1" x14ac:dyDescent="0.2">
      <c r="B3" s="287">
        <f>'Beschreibung &amp; Aktualisierung'!E22</f>
        <v>44342</v>
      </c>
      <c r="C3" s="287"/>
      <c r="D3" s="58"/>
      <c r="E3" s="58"/>
      <c r="F3" s="58"/>
      <c r="G3" s="58"/>
      <c r="Q3" s="380"/>
      <c r="S3" s="50"/>
      <c r="T3" s="1"/>
      <c r="AD3" s="103"/>
      <c r="AE3" s="103"/>
      <c r="AF3" s="103"/>
      <c r="AG3" s="103"/>
    </row>
    <row r="4" spans="1:33" ht="14.85" customHeight="1" x14ac:dyDescent="0.2">
      <c r="B4" s="75"/>
      <c r="C4" s="75"/>
      <c r="D4" s="75"/>
      <c r="E4" s="75"/>
      <c r="F4" s="75"/>
      <c r="G4" s="75"/>
      <c r="H4" s="75"/>
      <c r="I4" s="75"/>
      <c r="J4" s="75"/>
      <c r="K4" s="75"/>
      <c r="L4" s="46"/>
      <c r="M4" s="46"/>
      <c r="N4" s="46"/>
      <c r="P4" s="110"/>
      <c r="Q4" s="380"/>
      <c r="R4" s="112" t="s">
        <v>51</v>
      </c>
      <c r="S4" s="110"/>
      <c r="T4" s="45"/>
      <c r="AD4" s="103"/>
      <c r="AE4" s="103"/>
      <c r="AF4" s="103"/>
      <c r="AG4" s="103"/>
    </row>
    <row r="5" spans="1:33" ht="8.85" customHeight="1" x14ac:dyDescent="0.2">
      <c r="A5" s="43"/>
      <c r="B5" s="1"/>
      <c r="F5" s="24"/>
      <c r="O5" s="111"/>
      <c r="P5" s="111"/>
      <c r="Q5" s="111"/>
      <c r="R5" s="111"/>
      <c r="S5" s="111"/>
      <c r="T5" s="49"/>
      <c r="AD5" s="103"/>
      <c r="AE5" s="103"/>
      <c r="AF5" s="103"/>
      <c r="AG5" s="103"/>
    </row>
    <row r="6" spans="1:33" ht="7.35" customHeight="1" x14ac:dyDescent="0.2">
      <c r="A6" s="42">
        <v>1</v>
      </c>
      <c r="B6" s="42">
        <v>2</v>
      </c>
      <c r="C6" s="42">
        <v>3</v>
      </c>
      <c r="D6" s="42">
        <v>4</v>
      </c>
      <c r="E6" s="42">
        <v>5</v>
      </c>
      <c r="F6" s="54"/>
      <c r="G6" s="13"/>
      <c r="H6" s="217">
        <v>2</v>
      </c>
      <c r="I6" s="217">
        <v>3</v>
      </c>
      <c r="J6" s="217">
        <v>4</v>
      </c>
      <c r="K6" s="217">
        <v>5</v>
      </c>
      <c r="L6" s="15"/>
      <c r="N6" s="13"/>
      <c r="O6" s="14"/>
      <c r="P6" s="14"/>
      <c r="Q6" s="14"/>
      <c r="R6" s="14"/>
      <c r="S6" s="15"/>
      <c r="AD6" s="103"/>
      <c r="AE6" s="103"/>
      <c r="AF6" s="103"/>
      <c r="AG6" s="103"/>
    </row>
    <row r="7" spans="1:33" ht="32.85" customHeight="1" x14ac:dyDescent="0.2">
      <c r="B7" s="370" t="s">
        <v>227</v>
      </c>
      <c r="C7" s="371"/>
      <c r="D7" s="371"/>
      <c r="E7" s="372"/>
      <c r="F7" s="55"/>
      <c r="G7" s="16"/>
      <c r="H7" s="370" t="s">
        <v>13</v>
      </c>
      <c r="I7" s="371"/>
      <c r="J7" s="371"/>
      <c r="K7" s="372"/>
      <c r="L7" s="17"/>
      <c r="N7" s="16"/>
      <c r="O7" s="370" t="s">
        <v>57</v>
      </c>
      <c r="P7" s="371"/>
      <c r="Q7" s="371"/>
      <c r="R7" s="372"/>
      <c r="S7" s="17"/>
      <c r="T7" s="47"/>
      <c r="AD7" s="103"/>
      <c r="AE7" s="103"/>
      <c r="AF7" s="103"/>
      <c r="AG7" s="103"/>
    </row>
    <row r="8" spans="1:33" ht="17.45" customHeight="1" x14ac:dyDescent="0.2">
      <c r="B8" s="381" t="s">
        <v>0</v>
      </c>
      <c r="C8" s="382"/>
      <c r="D8" s="377" t="s">
        <v>228</v>
      </c>
      <c r="E8" s="377" t="s">
        <v>229</v>
      </c>
      <c r="F8" s="55"/>
      <c r="G8" s="16"/>
      <c r="H8" s="377" t="s">
        <v>23</v>
      </c>
      <c r="I8" s="377" t="s">
        <v>24</v>
      </c>
      <c r="J8" s="377" t="s">
        <v>195</v>
      </c>
      <c r="K8" s="377" t="s">
        <v>20</v>
      </c>
      <c r="L8" s="17"/>
      <c r="N8" s="16"/>
      <c r="O8" s="385" t="s">
        <v>62</v>
      </c>
      <c r="P8" s="385"/>
      <c r="Q8" s="385" t="s">
        <v>63</v>
      </c>
      <c r="R8" s="385"/>
      <c r="S8" s="17"/>
      <c r="T8" s="48"/>
    </row>
    <row r="9" spans="1:33" ht="15" customHeight="1" x14ac:dyDescent="0.2">
      <c r="B9" s="383"/>
      <c r="C9" s="384"/>
      <c r="D9" s="377"/>
      <c r="E9" s="377"/>
      <c r="F9" s="56"/>
      <c r="G9" s="18"/>
      <c r="H9" s="377"/>
      <c r="I9" s="377"/>
      <c r="J9" s="377"/>
      <c r="K9" s="377"/>
      <c r="L9" s="19"/>
      <c r="N9" s="18"/>
      <c r="O9" s="106" t="s">
        <v>15</v>
      </c>
      <c r="P9" s="106" t="s">
        <v>17</v>
      </c>
      <c r="Q9" s="106" t="s">
        <v>15</v>
      </c>
      <c r="R9" s="106" t="s">
        <v>17</v>
      </c>
      <c r="S9" s="19"/>
      <c r="T9" s="48"/>
      <c r="U9" s="42" t="s">
        <v>25</v>
      </c>
      <c r="V9" s="42" t="s">
        <v>26</v>
      </c>
    </row>
    <row r="10" spans="1:33" ht="14.85" hidden="1" customHeight="1" x14ac:dyDescent="0.2">
      <c r="A10" s="42">
        <v>1</v>
      </c>
      <c r="B10" s="378" t="s">
        <v>246</v>
      </c>
      <c r="C10" s="28">
        <f t="shared" ref="C10:C37" si="0">C11-1</f>
        <v>44287</v>
      </c>
      <c r="D10" s="5">
        <f>SUMIF('Fallzahlen (Berechnung)'!D:D,"&lt;="&amp;Prognoseergebnis!C10,'Fallzahlen (Berechnung)'!E:E)-'Fallzahlen (Berechnung)'!$E$1</f>
        <v>603173</v>
      </c>
      <c r="E10" s="116">
        <f>VLOOKUP(C10,'Fallzahlen (Berechnung)'!$D:$E,'Fallzahlen (Berechnung)'!$E$1,FALSE)</f>
        <v>1986</v>
      </c>
      <c r="F10" s="56"/>
      <c r="G10" s="18">
        <v>1</v>
      </c>
      <c r="H10" s="4">
        <f>ROUND('Erkrankungs- und Strukturdaten'!$C$8*D10-IF(G10&gt;'Erkrankungs- und Strukturdaten'!$C$14,VLOOKUP(Prognoseergebnis!G10-ROUNDDOWN('Erkrankungs- und Strukturdaten'!$C$14,0),$A:$D,$D$6,FALSE)*'Erkrankungs- und Strukturdaten'!$C$8,0)
+IF(G10&gt;'Erkrankungs- und Strukturdaten'!$C$15,VLOOKUP(Prognoseergebnis!G10-ROUNDDOWN('Erkrankungs- und Strukturdaten'!$C$15,0),A:D,$D$6,FALSE)*'Erkrankungs- und Strukturdaten'!$C$9,0)
-IF(G10&gt;'Erkrankungs- und Strukturdaten'!$C$15+'Erkrankungs- und Strukturdaten'!$C$16,VLOOKUP(Prognoseergebnis!G10-ROUNDDOWN('Erkrankungs- und Strukturdaten'!$C$15-'Erkrankungs- und Strukturdaten'!$C$16,0),A:D,$D$6,FALSE)*'Erkrankungs- und Strukturdaten'!$C$9,0),0)</f>
        <v>84444</v>
      </c>
      <c r="I10" s="5">
        <f>ROUND('Erkrankungs- und Strukturdaten'!$C$9*D10-IF(G10&gt;'Erkrankungs- und Strukturdaten'!$C$15,VLOOKUP(Prognoseergebnis!G10-'Erkrankungs- und Strukturdaten'!$C$15,$A:$D,$D$6,FALSE)*'Erkrankungs- und Strukturdaten'!$C$9,0),0)</f>
        <v>6756</v>
      </c>
      <c r="J10" s="5">
        <f>I10*'Erkrankungs- und Strukturdaten'!$C$10/'Erkrankungs- und Strukturdaten'!$C$9</f>
        <v>3310.4399999999996</v>
      </c>
      <c r="K10" s="5">
        <f>I10*'Erkrankungs- und Strukturdaten'!$C$21</f>
        <v>135120</v>
      </c>
      <c r="L10" s="11"/>
      <c r="N10" s="9"/>
      <c r="O10" s="5">
        <f>IF(AND(((H10/'Erkrankungs- und Strukturdaten'!$C$25)*'Erkrankungs- und Strukturdaten'!$E$27)+(H10/'Erkrankungs- und Strukturdaten'!$C$26)&lt;1,((H10/'Erkrankungs- und Strukturdaten'!$C$25)*'Erkrankungs- und Strukturdaten'!$E$27)+(H10/'Erkrankungs- und Strukturdaten'!$C$26)&gt;0),1,((H10/'Erkrankungs- und Strukturdaten'!$C$25)*'Erkrankungs- und Strukturdaten'!$E$27)+(H10/'Erkrankungs- und Strukturdaten'!$C$26))</f>
        <v>36592.400000000001</v>
      </c>
      <c r="P10" s="5">
        <f>ROUNDUP(((I10/'Erkrankungs- und Strukturdaten'!$C$28)*'Erkrankungs- und Strukturdaten'!$E$30)+(I10/'Erkrankungs- und Strukturdaten'!$C$29),0)</f>
        <v>7336</v>
      </c>
      <c r="Q10" s="5">
        <f>ROUNDUP((H10/'Erkrankungs- und Strukturdaten'!$C$34*'Erkrankungs- und Strukturdaten'!$E$36)+(H10/'Erkrankungs- und Strukturdaten'!$C$35),0)</f>
        <v>5865</v>
      </c>
      <c r="R10" s="5">
        <f>ROUNDUP((I10*'Erkrankungs- und Strukturdaten'!$C$40/'Erkrankungs- und Strukturdaten'!$C$38*'Erkrankungs- und Strukturdaten'!$E$39)+(I10*(1-'Erkrankungs- und Strukturdaten'!$C$40)/'Erkrankungs- und Strukturdaten'!$C$37*'Erkrankungs- und Strukturdaten'!$E$39),0)</f>
        <v>924</v>
      </c>
      <c r="S10" s="19"/>
      <c r="T10" s="48"/>
      <c r="U10" s="42"/>
      <c r="V10" s="42"/>
    </row>
    <row r="11" spans="1:33" ht="14.85" hidden="1" customHeight="1" x14ac:dyDescent="0.2">
      <c r="A11" s="42">
        <v>2</v>
      </c>
      <c r="B11" s="375"/>
      <c r="C11" s="28">
        <f t="shared" si="0"/>
        <v>44288</v>
      </c>
      <c r="D11" s="6">
        <f>SUMIF('Fallzahlen (Berechnung)'!D:D,"&lt;="&amp;Prognoseergebnis!C11,'Fallzahlen (Berechnung)'!E:E)-'Fallzahlen (Berechnung)'!$E$1</f>
        <v>604376</v>
      </c>
      <c r="E11" s="114">
        <f>VLOOKUP(C11,'Fallzahlen (Berechnung)'!$D:$E,'Fallzahlen (Berechnung)'!$E$1,FALSE)</f>
        <v>1203</v>
      </c>
      <c r="F11" s="56"/>
      <c r="G11" s="18">
        <v>2</v>
      </c>
      <c r="H11" s="6">
        <f>ROUND('Erkrankungs- und Strukturdaten'!$C$8*D11-IF(G11&gt;'Erkrankungs- und Strukturdaten'!$C$14,VLOOKUP(Prognoseergebnis!G11-ROUNDDOWN('Erkrankungs- und Strukturdaten'!$C$14,0),$A:$D,$D$6,FALSE)*'Erkrankungs- und Strukturdaten'!$C$8,0)
+IF(G11&gt;'Erkrankungs- und Strukturdaten'!$C$15,VLOOKUP(Prognoseergebnis!G11-ROUNDDOWN('Erkrankungs- und Strukturdaten'!$C$15,0),A:D,$D$6,FALSE)*'Erkrankungs- und Strukturdaten'!$C$9,0)
-IF(G11&gt;'Erkrankungs- und Strukturdaten'!$C$15+'Erkrankungs- und Strukturdaten'!$C$16,VLOOKUP(Prognoseergebnis!G11-ROUNDDOWN('Erkrankungs- und Strukturdaten'!$C$15-'Erkrankungs- und Strukturdaten'!$C$16,0),A:D,$D$6,FALSE)*'Erkrankungs- und Strukturdaten'!$C$9,0),0)</f>
        <v>84613</v>
      </c>
      <c r="I11" s="6">
        <f>ROUND('Erkrankungs- und Strukturdaten'!$C$9*D11-IF(G11&gt;'Erkrankungs- und Strukturdaten'!$C$15,VLOOKUP(Prognoseergebnis!G11-'Erkrankungs- und Strukturdaten'!$C$15,$A:$D,$D$6,FALSE)*'Erkrankungs- und Strukturdaten'!$C$9,0),0)</f>
        <v>6769</v>
      </c>
      <c r="J11" s="6">
        <f>I11*'Erkrankungs- und Strukturdaten'!$C$10/'Erkrankungs- und Strukturdaten'!$C$9</f>
        <v>3316.81</v>
      </c>
      <c r="K11" s="6">
        <f>I11*'Erkrankungs- und Strukturdaten'!$C$21</f>
        <v>135380</v>
      </c>
      <c r="L11" s="12"/>
      <c r="N11" s="10"/>
      <c r="O11" s="6">
        <f>IF(AND(((H11/'Erkrankungs- und Strukturdaten'!$C$25)*'Erkrankungs- und Strukturdaten'!$E$27)+(H11/'Erkrankungs- und Strukturdaten'!$C$26)&lt;1,((H11/'Erkrankungs- und Strukturdaten'!$C$25)*'Erkrankungs- und Strukturdaten'!$E$27)+(H11/'Erkrankungs- und Strukturdaten'!$C$26)&gt;0),1,((H11/'Erkrankungs- und Strukturdaten'!$C$25)*'Erkrankungs- und Strukturdaten'!$E$27)+(H11/'Erkrankungs- und Strukturdaten'!$C$26))</f>
        <v>36665.633333333331</v>
      </c>
      <c r="P11" s="6">
        <f>ROUNDUP(((I11/'Erkrankungs- und Strukturdaten'!$C$28)*'Erkrankungs- und Strukturdaten'!$E$30)+(I11/'Erkrankungs- und Strukturdaten'!$C$29),0)</f>
        <v>7350</v>
      </c>
      <c r="Q11" s="6">
        <f>ROUNDUP((H11/'Erkrankungs- und Strukturdaten'!$C$34*'Erkrankungs- und Strukturdaten'!$E$36)+(H11/'Erkrankungs- und Strukturdaten'!$C$35),0)</f>
        <v>5876</v>
      </c>
      <c r="R11" s="6">
        <f>ROUNDUP((I11*'Erkrankungs- und Strukturdaten'!$C$40/'Erkrankungs- und Strukturdaten'!$C$38*'Erkrankungs- und Strukturdaten'!$E$39)+(I11*(1-'Erkrankungs- und Strukturdaten'!$C$40)/'Erkrankungs- und Strukturdaten'!$C$37*'Erkrankungs- und Strukturdaten'!$E$39),0)</f>
        <v>926</v>
      </c>
      <c r="S11" s="19"/>
      <c r="T11" s="48"/>
      <c r="U11" s="42"/>
      <c r="V11" s="42"/>
    </row>
    <row r="12" spans="1:33" ht="14.85" hidden="1" customHeight="1" x14ac:dyDescent="0.2">
      <c r="A12" s="42">
        <v>3</v>
      </c>
      <c r="B12" s="375"/>
      <c r="C12" s="28">
        <f t="shared" si="0"/>
        <v>44289</v>
      </c>
      <c r="D12" s="5">
        <f>SUMIF('Fallzahlen (Berechnung)'!D:D,"&lt;="&amp;Prognoseergebnis!C12,'Fallzahlen (Berechnung)'!E:E)-'Fallzahlen (Berechnung)'!$E$1</f>
        <v>605693</v>
      </c>
      <c r="E12" s="115">
        <f>VLOOKUP(C12,'Fallzahlen (Berechnung)'!$D:$E,'Fallzahlen (Berechnung)'!$E$1,FALSE)</f>
        <v>1317</v>
      </c>
      <c r="F12" s="56"/>
      <c r="G12" s="18">
        <v>3</v>
      </c>
      <c r="H12" s="5">
        <f>ROUND('Erkrankungs- und Strukturdaten'!$C$8*D12-IF(G12&gt;'Erkrankungs- und Strukturdaten'!$C$14,VLOOKUP(Prognoseergebnis!G12-ROUNDDOWN('Erkrankungs- und Strukturdaten'!$C$14,0),$A:$D,$D$6,FALSE)*'Erkrankungs- und Strukturdaten'!$C$8,0)
+IF(G12&gt;'Erkrankungs- und Strukturdaten'!$C$15,VLOOKUP(Prognoseergebnis!G12-ROUNDDOWN('Erkrankungs- und Strukturdaten'!$C$15,0),A:D,$D$6,FALSE)*'Erkrankungs- und Strukturdaten'!$C$9,0)
-IF(G12&gt;'Erkrankungs- und Strukturdaten'!$C$15+'Erkrankungs- und Strukturdaten'!$C$16,VLOOKUP(Prognoseergebnis!G12-ROUNDDOWN('Erkrankungs- und Strukturdaten'!$C$15-'Erkrankungs- und Strukturdaten'!$C$16,0),A:D,$D$6,FALSE)*'Erkrankungs- und Strukturdaten'!$C$9,0),0)</f>
        <v>84797</v>
      </c>
      <c r="I12" s="5">
        <f>ROUND('Erkrankungs- und Strukturdaten'!$C$9*D12-IF(G12&gt;'Erkrankungs- und Strukturdaten'!$C$15,VLOOKUP(Prognoseergebnis!G12-'Erkrankungs- und Strukturdaten'!$C$15,$A:$D,$D$6,FALSE)*'Erkrankungs- und Strukturdaten'!$C$9,0),0)</f>
        <v>6784</v>
      </c>
      <c r="J12" s="5">
        <f>I12*'Erkrankungs- und Strukturdaten'!$C$10/'Erkrankungs- und Strukturdaten'!$C$9</f>
        <v>3324.16</v>
      </c>
      <c r="K12" s="5">
        <f>I12*'Erkrankungs- und Strukturdaten'!$C$21</f>
        <v>135680</v>
      </c>
      <c r="L12" s="11"/>
      <c r="N12" s="9"/>
      <c r="O12" s="5">
        <f>IF(AND(((H12/'Erkrankungs- und Strukturdaten'!$C$25)*'Erkrankungs- und Strukturdaten'!$E$27)+(H12/'Erkrankungs- und Strukturdaten'!$C$26)&lt;1,((H12/'Erkrankungs- und Strukturdaten'!$C$25)*'Erkrankungs- und Strukturdaten'!$E$27)+(H12/'Erkrankungs- und Strukturdaten'!$C$26)&gt;0),1,((H12/'Erkrankungs- und Strukturdaten'!$C$25)*'Erkrankungs- und Strukturdaten'!$E$27)+(H12/'Erkrankungs- und Strukturdaten'!$C$26))</f>
        <v>36745.366666666669</v>
      </c>
      <c r="P12" s="5">
        <f>ROUNDUP(((I12/'Erkrankungs- und Strukturdaten'!$C$28)*'Erkrankungs- und Strukturdaten'!$E$30)+(I12/'Erkrankungs- und Strukturdaten'!$C$29),0)</f>
        <v>7366</v>
      </c>
      <c r="Q12" s="5">
        <f>ROUNDUP((H12/'Erkrankungs- und Strukturdaten'!$C$34*'Erkrankungs- und Strukturdaten'!$E$36)+(H12/'Erkrankungs- und Strukturdaten'!$C$35),0)</f>
        <v>5889</v>
      </c>
      <c r="R12" s="5">
        <f>ROUNDUP((I12*'Erkrankungs- und Strukturdaten'!$C$40/'Erkrankungs- und Strukturdaten'!$C$38*'Erkrankungs- und Strukturdaten'!$E$39)+(I12*(1-'Erkrankungs- und Strukturdaten'!$C$40)/'Erkrankungs- und Strukturdaten'!$C$37*'Erkrankungs- und Strukturdaten'!$E$39),0)</f>
        <v>928</v>
      </c>
      <c r="S12" s="19"/>
      <c r="T12" s="48"/>
      <c r="U12" s="42"/>
      <c r="V12" s="42"/>
    </row>
    <row r="13" spans="1:33" ht="14.85" hidden="1" customHeight="1" x14ac:dyDescent="0.2">
      <c r="A13" s="42">
        <v>4</v>
      </c>
      <c r="B13" s="375"/>
      <c r="C13" s="28">
        <f t="shared" si="0"/>
        <v>44290</v>
      </c>
      <c r="D13" s="6">
        <f>SUMIF('Fallzahlen (Berechnung)'!D:D,"&lt;="&amp;Prognoseergebnis!C13,'Fallzahlen (Berechnung)'!E:E)-'Fallzahlen (Berechnung)'!$E$1</f>
        <v>606714</v>
      </c>
      <c r="E13" s="114">
        <f>VLOOKUP(C13,'Fallzahlen (Berechnung)'!$D:$E,'Fallzahlen (Berechnung)'!$E$1,FALSE)</f>
        <v>1021</v>
      </c>
      <c r="F13" s="56"/>
      <c r="G13" s="18">
        <v>4</v>
      </c>
      <c r="H13" s="6">
        <f>ROUND('Erkrankungs- und Strukturdaten'!$C$8*D13-IF(G13&gt;'Erkrankungs- und Strukturdaten'!$C$14,VLOOKUP(Prognoseergebnis!G13-ROUNDDOWN('Erkrankungs- und Strukturdaten'!$C$14,0),$A:$D,$D$6,FALSE)*'Erkrankungs- und Strukturdaten'!$C$8,0)
+IF(G13&gt;'Erkrankungs- und Strukturdaten'!$C$15,VLOOKUP(Prognoseergebnis!G13-ROUNDDOWN('Erkrankungs- und Strukturdaten'!$C$15,0),A:D,$D$6,FALSE)*'Erkrankungs- und Strukturdaten'!$C$9,0)
-IF(G13&gt;'Erkrankungs- und Strukturdaten'!$C$15+'Erkrankungs- und Strukturdaten'!$C$16,VLOOKUP(Prognoseergebnis!G13-ROUNDDOWN('Erkrankungs- und Strukturdaten'!$C$15-'Erkrankungs- und Strukturdaten'!$C$16,0),A:D,$D$6,FALSE)*'Erkrankungs- und Strukturdaten'!$C$9,0),0)</f>
        <v>84940</v>
      </c>
      <c r="I13" s="6">
        <f>ROUND('Erkrankungs- und Strukturdaten'!$C$9*D13-IF(G13&gt;'Erkrankungs- und Strukturdaten'!$C$15,VLOOKUP(Prognoseergebnis!G13-'Erkrankungs- und Strukturdaten'!$C$15,$A:$D,$D$6,FALSE)*'Erkrankungs- und Strukturdaten'!$C$9,0),0)</f>
        <v>6795</v>
      </c>
      <c r="J13" s="6">
        <f>I13*'Erkrankungs- und Strukturdaten'!$C$10/'Erkrankungs- und Strukturdaten'!$C$9</f>
        <v>3329.55</v>
      </c>
      <c r="K13" s="6">
        <f>I13*'Erkrankungs- und Strukturdaten'!$C$21</f>
        <v>135900</v>
      </c>
      <c r="L13" s="11"/>
      <c r="N13" s="9"/>
      <c r="O13" s="6">
        <f>IF(AND(((H13/'Erkrankungs- und Strukturdaten'!$C$25)*'Erkrankungs- und Strukturdaten'!$E$27)+(H13/'Erkrankungs- und Strukturdaten'!$C$26)&lt;1,((H13/'Erkrankungs- und Strukturdaten'!$C$25)*'Erkrankungs- und Strukturdaten'!$E$27)+(H13/'Erkrankungs- und Strukturdaten'!$C$26)&gt;0),1,((H13/'Erkrankungs- und Strukturdaten'!$C$25)*'Erkrankungs- und Strukturdaten'!$E$27)+(H13/'Erkrankungs- und Strukturdaten'!$C$26))</f>
        <v>36807.333333333328</v>
      </c>
      <c r="P13" s="6">
        <f>ROUNDUP(((I13/'Erkrankungs- und Strukturdaten'!$C$28)*'Erkrankungs- und Strukturdaten'!$E$30)+(I13/'Erkrankungs- und Strukturdaten'!$C$29),0)</f>
        <v>7378</v>
      </c>
      <c r="Q13" s="6">
        <f>ROUNDUP((H13/'Erkrankungs- und Strukturdaten'!$C$34*'Erkrankungs- und Strukturdaten'!$E$36)+(H13/'Erkrankungs- und Strukturdaten'!$C$35),0)</f>
        <v>5899</v>
      </c>
      <c r="R13" s="6">
        <f>ROUNDUP((I13*'Erkrankungs- und Strukturdaten'!$C$40/'Erkrankungs- und Strukturdaten'!$C$38*'Erkrankungs- und Strukturdaten'!$E$39)+(I13*(1-'Erkrankungs- und Strukturdaten'!$C$40)/'Erkrankungs- und Strukturdaten'!$C$37*'Erkrankungs- und Strukturdaten'!$E$39),0)</f>
        <v>929</v>
      </c>
      <c r="S13" s="19"/>
      <c r="T13" s="48"/>
      <c r="U13" s="42"/>
      <c r="V13" s="42"/>
    </row>
    <row r="14" spans="1:33" ht="14.85" hidden="1" customHeight="1" x14ac:dyDescent="0.2">
      <c r="A14" s="42">
        <v>5</v>
      </c>
      <c r="B14" s="375"/>
      <c r="C14" s="28">
        <f t="shared" si="0"/>
        <v>44291</v>
      </c>
      <c r="D14" s="5">
        <f>SUMIF('Fallzahlen (Berechnung)'!D:D,"&lt;="&amp;Prognoseergebnis!C14,'Fallzahlen (Berechnung)'!E:E)-'Fallzahlen (Berechnung)'!$E$1</f>
        <v>608001</v>
      </c>
      <c r="E14" s="115">
        <f>VLOOKUP(C14,'Fallzahlen (Berechnung)'!$D:$E,'Fallzahlen (Berechnung)'!$E$1,FALSE)</f>
        <v>1287</v>
      </c>
      <c r="F14" s="56"/>
      <c r="G14" s="18">
        <v>5</v>
      </c>
      <c r="H14" s="5">
        <f>ROUND('Erkrankungs- und Strukturdaten'!$C$8*D14-IF(G14&gt;'Erkrankungs- und Strukturdaten'!$C$14,VLOOKUP(Prognoseergebnis!G14-ROUNDDOWN('Erkrankungs- und Strukturdaten'!$C$14,0),$A:$D,$D$6,FALSE)*'Erkrankungs- und Strukturdaten'!$C$8,0)
+IF(G14&gt;'Erkrankungs- und Strukturdaten'!$C$15,VLOOKUP(Prognoseergebnis!G14-ROUNDDOWN('Erkrankungs- und Strukturdaten'!$C$15,0),A:D,$D$6,FALSE)*'Erkrankungs- und Strukturdaten'!$C$9,0)
-IF(G14&gt;'Erkrankungs- und Strukturdaten'!$C$15+'Erkrankungs- und Strukturdaten'!$C$16,VLOOKUP(Prognoseergebnis!G14-ROUNDDOWN('Erkrankungs- und Strukturdaten'!$C$15-'Erkrankungs- und Strukturdaten'!$C$16,0),A:D,$D$6,FALSE)*'Erkrankungs- und Strukturdaten'!$C$9,0),0)</f>
        <v>85120</v>
      </c>
      <c r="I14" s="5">
        <f>ROUND('Erkrankungs- und Strukturdaten'!$C$9*D14-IF(G14&gt;'Erkrankungs- und Strukturdaten'!$C$15,VLOOKUP(Prognoseergebnis!G14-'Erkrankungs- und Strukturdaten'!$C$15,$A:$D,$D$6,FALSE)*'Erkrankungs- und Strukturdaten'!$C$9,0),0)</f>
        <v>6810</v>
      </c>
      <c r="J14" s="5">
        <f>I14*'Erkrankungs- und Strukturdaten'!$C$10/'Erkrankungs- und Strukturdaten'!$C$9</f>
        <v>3336.8999999999996</v>
      </c>
      <c r="K14" s="5">
        <f>I14*'Erkrankungs- und Strukturdaten'!$C$21</f>
        <v>136200</v>
      </c>
      <c r="L14" s="11"/>
      <c r="N14" s="9"/>
      <c r="O14" s="5">
        <f>IF(AND(((H14/'Erkrankungs- und Strukturdaten'!$C$25)*'Erkrankungs- und Strukturdaten'!$E$27)+(H14/'Erkrankungs- und Strukturdaten'!$C$26)&lt;1,((H14/'Erkrankungs- und Strukturdaten'!$C$25)*'Erkrankungs- und Strukturdaten'!$E$27)+(H14/'Erkrankungs- und Strukturdaten'!$C$26)&gt;0),1,((H14/'Erkrankungs- und Strukturdaten'!$C$25)*'Erkrankungs- und Strukturdaten'!$E$27)+(H14/'Erkrankungs- und Strukturdaten'!$C$26))</f>
        <v>36885.333333333328</v>
      </c>
      <c r="P14" s="5">
        <f>ROUNDUP(((I14/'Erkrankungs- und Strukturdaten'!$C$28)*'Erkrankungs- und Strukturdaten'!$E$30)+(I14/'Erkrankungs- und Strukturdaten'!$C$29),0)</f>
        <v>7394</v>
      </c>
      <c r="Q14" s="5">
        <f>ROUNDUP((H14/'Erkrankungs- und Strukturdaten'!$C$34*'Erkrankungs- und Strukturdaten'!$E$36)+(H14/'Erkrankungs- und Strukturdaten'!$C$35),0)</f>
        <v>5912</v>
      </c>
      <c r="R14" s="5">
        <f>ROUNDUP((I14*'Erkrankungs- und Strukturdaten'!$C$40/'Erkrankungs- und Strukturdaten'!$C$38*'Erkrankungs- und Strukturdaten'!$E$39)+(I14*(1-'Erkrankungs- und Strukturdaten'!$C$40)/'Erkrankungs- und Strukturdaten'!$C$37*'Erkrankungs- und Strukturdaten'!$E$39),0)</f>
        <v>931</v>
      </c>
      <c r="S14" s="19"/>
      <c r="T14" s="48"/>
      <c r="U14" s="42"/>
      <c r="V14" s="42"/>
    </row>
    <row r="15" spans="1:33" ht="14.85" hidden="1" customHeight="1" x14ac:dyDescent="0.2">
      <c r="A15" s="42">
        <v>6</v>
      </c>
      <c r="B15" s="375"/>
      <c r="C15" s="28">
        <f t="shared" si="0"/>
        <v>44292</v>
      </c>
      <c r="D15" s="6">
        <f>SUMIF('Fallzahlen (Berechnung)'!D:D,"&lt;="&amp;Prognoseergebnis!C15,'Fallzahlen (Berechnung)'!E:E)-'Fallzahlen (Berechnung)'!$E$1</f>
        <v>610690</v>
      </c>
      <c r="E15" s="114">
        <f>VLOOKUP(C15,'Fallzahlen (Berechnung)'!$D:$E,'Fallzahlen (Berechnung)'!$E$1,FALSE)</f>
        <v>2689</v>
      </c>
      <c r="F15" s="56"/>
      <c r="G15" s="18">
        <v>6</v>
      </c>
      <c r="H15" s="6">
        <f>ROUND('Erkrankungs- und Strukturdaten'!$C$8*D15-IF(G15&gt;'Erkrankungs- und Strukturdaten'!$C$14,VLOOKUP(Prognoseergebnis!G15-ROUNDDOWN('Erkrankungs- und Strukturdaten'!$C$14,0),$A:$D,$D$6,FALSE)*'Erkrankungs- und Strukturdaten'!$C$8,0)
+IF(G15&gt;'Erkrankungs- und Strukturdaten'!$C$15,VLOOKUP(Prognoseergebnis!G15-ROUNDDOWN('Erkrankungs- und Strukturdaten'!$C$15,0),A:D,$D$6,FALSE)*'Erkrankungs- und Strukturdaten'!$C$9,0)
-IF(G15&gt;'Erkrankungs- und Strukturdaten'!$C$15+'Erkrankungs- und Strukturdaten'!$C$16,VLOOKUP(Prognoseergebnis!G15-ROUNDDOWN('Erkrankungs- und Strukturdaten'!$C$15-'Erkrankungs- und Strukturdaten'!$C$16,0),A:D,$D$6,FALSE)*'Erkrankungs- und Strukturdaten'!$C$9,0),0)</f>
        <v>85497</v>
      </c>
      <c r="I15" s="6">
        <f>ROUND('Erkrankungs- und Strukturdaten'!$C$9*D15-IF(G15&gt;'Erkrankungs- und Strukturdaten'!$C$15,VLOOKUP(Prognoseergebnis!G15-'Erkrankungs- und Strukturdaten'!$C$15,$A:$D,$D$6,FALSE)*'Erkrankungs- und Strukturdaten'!$C$9,0),0)</f>
        <v>6840</v>
      </c>
      <c r="J15" s="6">
        <f>I15*'Erkrankungs- und Strukturdaten'!$C$10/'Erkrankungs- und Strukturdaten'!$C$9</f>
        <v>3351.6</v>
      </c>
      <c r="K15" s="6">
        <f>I15*'Erkrankungs- und Strukturdaten'!$C$21</f>
        <v>136800</v>
      </c>
      <c r="L15" s="11"/>
      <c r="N15" s="9"/>
      <c r="O15" s="6">
        <f>IF(AND(((H15/'Erkrankungs- und Strukturdaten'!$C$25)*'Erkrankungs- und Strukturdaten'!$E$27)+(H15/'Erkrankungs- und Strukturdaten'!$C$26)&lt;1,((H15/'Erkrankungs- und Strukturdaten'!$C$25)*'Erkrankungs- und Strukturdaten'!$E$27)+(H15/'Erkrankungs- und Strukturdaten'!$C$26)&gt;0),1,((H15/'Erkrankungs- und Strukturdaten'!$C$25)*'Erkrankungs- und Strukturdaten'!$E$27)+(H15/'Erkrankungs- und Strukturdaten'!$C$26))</f>
        <v>37048.699999999997</v>
      </c>
      <c r="P15" s="6">
        <f>ROUNDUP(((I15/'Erkrankungs- und Strukturdaten'!$C$28)*'Erkrankungs- und Strukturdaten'!$E$30)+(I15/'Erkrankungs- und Strukturdaten'!$C$29),0)</f>
        <v>7427</v>
      </c>
      <c r="Q15" s="6">
        <f>ROUNDUP((H15/'Erkrankungs- und Strukturdaten'!$C$34*'Erkrankungs- und Strukturdaten'!$E$36)+(H15/'Erkrankungs- und Strukturdaten'!$C$35),0)</f>
        <v>5938</v>
      </c>
      <c r="R15" s="6">
        <f>ROUNDUP((I15*'Erkrankungs- und Strukturdaten'!$C$40/'Erkrankungs- und Strukturdaten'!$C$38*'Erkrankungs- und Strukturdaten'!$E$39)+(I15*(1-'Erkrankungs- und Strukturdaten'!$C$40)/'Erkrankungs- und Strukturdaten'!$C$37*'Erkrankungs- und Strukturdaten'!$E$39),0)</f>
        <v>935</v>
      </c>
      <c r="S15" s="19"/>
      <c r="T15" s="48"/>
      <c r="U15" s="42"/>
      <c r="V15" s="42"/>
    </row>
    <row r="16" spans="1:33" ht="14.85" hidden="1" customHeight="1" x14ac:dyDescent="0.2">
      <c r="A16" s="42">
        <v>7</v>
      </c>
      <c r="B16" s="375"/>
      <c r="C16" s="28">
        <f t="shared" si="0"/>
        <v>44293</v>
      </c>
      <c r="D16" s="5">
        <f>SUMIF('Fallzahlen (Berechnung)'!D:D,"&lt;="&amp;Prognoseergebnis!C16,'Fallzahlen (Berechnung)'!E:E)-'Fallzahlen (Berechnung)'!$E$1</f>
        <v>613078</v>
      </c>
      <c r="E16" s="117">
        <f>VLOOKUP(C16,'Fallzahlen (Berechnung)'!$D:$E,'Fallzahlen (Berechnung)'!$E$1,FALSE)</f>
        <v>2388</v>
      </c>
      <c r="F16" s="56"/>
      <c r="G16" s="18">
        <v>7</v>
      </c>
      <c r="H16" s="5">
        <f>ROUND('Erkrankungs- und Strukturdaten'!$C$8*D16-IF(G16&gt;'Erkrankungs- und Strukturdaten'!$C$14,VLOOKUP(Prognoseergebnis!G16-ROUNDDOWN('Erkrankungs- und Strukturdaten'!$C$14,0),$A:$D,$D$6,FALSE)*'Erkrankungs- und Strukturdaten'!$C$8,0)
+IF(G16&gt;'Erkrankungs- und Strukturdaten'!$C$15,VLOOKUP(Prognoseergebnis!G16-ROUNDDOWN('Erkrankungs- und Strukturdaten'!$C$15,0),A:D,$D$6,FALSE)*'Erkrankungs- und Strukturdaten'!$C$9,0)
-IF(G16&gt;'Erkrankungs- und Strukturdaten'!$C$15+'Erkrankungs- und Strukturdaten'!$C$16,VLOOKUP(Prognoseergebnis!G16-ROUNDDOWN('Erkrankungs- und Strukturdaten'!$C$15-'Erkrankungs- und Strukturdaten'!$C$16,0),A:D,$D$6,FALSE)*'Erkrankungs- und Strukturdaten'!$C$9,0),0)</f>
        <v>85831</v>
      </c>
      <c r="I16" s="5">
        <f>ROUND('Erkrankungs- und Strukturdaten'!$C$9*D16-IF(G16&gt;'Erkrankungs- und Strukturdaten'!$C$15,VLOOKUP(Prognoseergebnis!G16-'Erkrankungs- und Strukturdaten'!$C$15,$A:$D,$D$6,FALSE)*'Erkrankungs- und Strukturdaten'!$C$9,0),0)</f>
        <v>6866</v>
      </c>
      <c r="J16" s="5">
        <f>I16*'Erkrankungs- und Strukturdaten'!$C$10/'Erkrankungs- und Strukturdaten'!$C$9</f>
        <v>3364.34</v>
      </c>
      <c r="K16" s="5">
        <f>I16*'Erkrankungs- und Strukturdaten'!$C$21</f>
        <v>137320</v>
      </c>
      <c r="L16" s="11"/>
      <c r="N16" s="9"/>
      <c r="O16" s="5">
        <f>IF(AND(((H16/'Erkrankungs- und Strukturdaten'!$C$25)*'Erkrankungs- und Strukturdaten'!$E$27)+(H16/'Erkrankungs- und Strukturdaten'!$C$26)&lt;1,((H16/'Erkrankungs- und Strukturdaten'!$C$25)*'Erkrankungs- und Strukturdaten'!$E$27)+(H16/'Erkrankungs- und Strukturdaten'!$C$26)&gt;0),1,((H16/'Erkrankungs- und Strukturdaten'!$C$25)*'Erkrankungs- und Strukturdaten'!$E$27)+(H16/'Erkrankungs- und Strukturdaten'!$C$26))</f>
        <v>37193.433333333334</v>
      </c>
      <c r="P16" s="5">
        <f>ROUNDUP(((I16/'Erkrankungs- und Strukturdaten'!$C$28)*'Erkrankungs- und Strukturdaten'!$E$30)+(I16/'Erkrankungs- und Strukturdaten'!$C$29),0)</f>
        <v>7455</v>
      </c>
      <c r="Q16" s="5">
        <f>ROUNDUP((H16/'Erkrankungs- und Strukturdaten'!$C$34*'Erkrankungs- und Strukturdaten'!$E$36)+(H16/'Erkrankungs- und Strukturdaten'!$C$35),0)</f>
        <v>5961</v>
      </c>
      <c r="R16" s="5">
        <f>ROUNDUP((I16*'Erkrankungs- und Strukturdaten'!$C$40/'Erkrankungs- und Strukturdaten'!$C$38*'Erkrankungs- und Strukturdaten'!$E$39)+(I16*(1-'Erkrankungs- und Strukturdaten'!$C$40)/'Erkrankungs- und Strukturdaten'!$C$37*'Erkrankungs- und Strukturdaten'!$E$39),0)</f>
        <v>939</v>
      </c>
      <c r="S16" s="19"/>
      <c r="T16" s="48"/>
      <c r="U16" s="42"/>
      <c r="V16" s="42"/>
    </row>
    <row r="17" spans="1:22" ht="14.85" hidden="1" customHeight="1" x14ac:dyDescent="0.2">
      <c r="A17" s="42">
        <v>8</v>
      </c>
      <c r="B17" s="379" t="s">
        <v>245</v>
      </c>
      <c r="C17" s="28">
        <f t="shared" si="0"/>
        <v>44294</v>
      </c>
      <c r="D17" s="6">
        <f>SUMIF('Fallzahlen (Berechnung)'!D:D,"&lt;="&amp;Prognoseergebnis!C17,'Fallzahlen (Berechnung)'!E:E)-'Fallzahlen (Berechnung)'!$E$1</f>
        <v>615568</v>
      </c>
      <c r="E17" s="118">
        <f>VLOOKUP(C17,'Fallzahlen (Berechnung)'!$D:$E,'Fallzahlen (Berechnung)'!$E$1,FALSE)</f>
        <v>2490</v>
      </c>
      <c r="F17" s="56"/>
      <c r="G17" s="18">
        <v>8</v>
      </c>
      <c r="H17" s="6">
        <f>ROUND('Erkrankungs- und Strukturdaten'!$C$8*D17-IF(G17&gt;'Erkrankungs- und Strukturdaten'!$C$14,VLOOKUP(Prognoseergebnis!G17-ROUNDDOWN('Erkrankungs- und Strukturdaten'!$C$14,0),$A:$D,$D$6,FALSE)*'Erkrankungs- und Strukturdaten'!$C$8,0)
+IF(G17&gt;'Erkrankungs- und Strukturdaten'!$C$15,VLOOKUP(Prognoseergebnis!G17-ROUNDDOWN('Erkrankungs- und Strukturdaten'!$C$15,0),A:D,$D$6,FALSE)*'Erkrankungs- und Strukturdaten'!$C$9,0)
-IF(G17&gt;'Erkrankungs- und Strukturdaten'!$C$15+'Erkrankungs- und Strukturdaten'!$C$16,VLOOKUP(Prognoseergebnis!G17-ROUNDDOWN('Erkrankungs- und Strukturdaten'!$C$15-'Erkrankungs- und Strukturdaten'!$C$16,0),A:D,$D$6,FALSE)*'Erkrankungs- und Strukturdaten'!$C$9,0),0)</f>
        <v>86179</v>
      </c>
      <c r="I17" s="6">
        <f>ROUND('Erkrankungs- und Strukturdaten'!$C$9*D17-IF(G17&gt;'Erkrankungs- und Strukturdaten'!$C$15,VLOOKUP(Prognoseergebnis!G17-'Erkrankungs- und Strukturdaten'!$C$15,$A:$D,$D$6,FALSE)*'Erkrankungs- und Strukturdaten'!$C$9,0),0)</f>
        <v>6894</v>
      </c>
      <c r="J17" s="6">
        <f>I17*'Erkrankungs- und Strukturdaten'!$C$10/'Erkrankungs- und Strukturdaten'!$C$9</f>
        <v>3378.06</v>
      </c>
      <c r="K17" s="6">
        <f>I17*'Erkrankungs- und Strukturdaten'!$C$21</f>
        <v>137880</v>
      </c>
      <c r="L17" s="11"/>
      <c r="N17" s="9"/>
      <c r="O17" s="6">
        <f>IF(AND(((H17/'Erkrankungs- und Strukturdaten'!$C$25)*'Erkrankungs- und Strukturdaten'!$E$27)+(H17/'Erkrankungs- und Strukturdaten'!$C$26)&lt;1,((H17/'Erkrankungs- und Strukturdaten'!$C$25)*'Erkrankungs- und Strukturdaten'!$E$27)+(H17/'Erkrankungs- und Strukturdaten'!$C$26)&gt;0),1,((H17/'Erkrankungs- und Strukturdaten'!$C$25)*'Erkrankungs- und Strukturdaten'!$E$27)+(H17/'Erkrankungs- und Strukturdaten'!$C$26))</f>
        <v>37344.23333333333</v>
      </c>
      <c r="P17" s="6">
        <f>ROUNDUP(((I17/'Erkrankungs- und Strukturdaten'!$C$28)*'Erkrankungs- und Strukturdaten'!$E$30)+(I17/'Erkrankungs- und Strukturdaten'!$C$29),0)</f>
        <v>7485</v>
      </c>
      <c r="Q17" s="6">
        <f>ROUNDUP((H17/'Erkrankungs- und Strukturdaten'!$C$34*'Erkrankungs- und Strukturdaten'!$E$36)+(H17/'Erkrankungs- und Strukturdaten'!$C$35),0)</f>
        <v>5985</v>
      </c>
      <c r="R17" s="6">
        <f>ROUNDUP((I17*'Erkrankungs- und Strukturdaten'!$C$40/'Erkrankungs- und Strukturdaten'!$C$38*'Erkrankungs- und Strukturdaten'!$E$39)+(I17*(1-'Erkrankungs- und Strukturdaten'!$C$40)/'Erkrankungs- und Strukturdaten'!$C$37*'Erkrankungs- und Strukturdaten'!$E$39),0)</f>
        <v>943</v>
      </c>
      <c r="S17" s="19"/>
      <c r="T17" s="48"/>
      <c r="U17" s="42"/>
      <c r="V17" s="42"/>
    </row>
    <row r="18" spans="1:22" ht="14.85" hidden="1" customHeight="1" x14ac:dyDescent="0.2">
      <c r="A18" s="42">
        <v>9</v>
      </c>
      <c r="B18" s="373"/>
      <c r="C18" s="28">
        <f t="shared" si="0"/>
        <v>44295</v>
      </c>
      <c r="D18" s="5">
        <f>SUMIF('Fallzahlen (Berechnung)'!D:D,"&lt;="&amp;Prognoseergebnis!C18,'Fallzahlen (Berechnung)'!E:E)-'Fallzahlen (Berechnung)'!$E$1</f>
        <v>617982</v>
      </c>
      <c r="E18" s="115">
        <f>VLOOKUP(C18,'Fallzahlen (Berechnung)'!$D:$E,'Fallzahlen (Berechnung)'!$E$1,FALSE)</f>
        <v>2414</v>
      </c>
      <c r="F18" s="56"/>
      <c r="G18" s="18">
        <v>9</v>
      </c>
      <c r="H18" s="5">
        <f>ROUND('Erkrankungs- und Strukturdaten'!$C$8*D18-IF(G18&gt;'Erkrankungs- und Strukturdaten'!$C$14,VLOOKUP(Prognoseergebnis!G18-ROUNDDOWN('Erkrankungs- und Strukturdaten'!$C$14,0),$A:$D,$D$6,FALSE)*'Erkrankungs- und Strukturdaten'!$C$8,0)
+IF(G18&gt;'Erkrankungs- und Strukturdaten'!$C$15,VLOOKUP(Prognoseergebnis!G18-ROUNDDOWN('Erkrankungs- und Strukturdaten'!$C$15,0),A:D,$D$6,FALSE)*'Erkrankungs- und Strukturdaten'!$C$9,0)
-IF(G18&gt;'Erkrankungs- und Strukturdaten'!$C$15+'Erkrankungs- und Strukturdaten'!$C$16,VLOOKUP(Prognoseergebnis!G18-ROUNDDOWN('Erkrankungs- und Strukturdaten'!$C$15-'Erkrankungs- und Strukturdaten'!$C$16,0),A:D,$D$6,FALSE)*'Erkrankungs- und Strukturdaten'!$C$9,0),0)</f>
        <v>1905</v>
      </c>
      <c r="I18" s="5">
        <f>ROUND('Erkrankungs- und Strukturdaten'!$C$9*D18-IF(G18&gt;'Erkrankungs- und Strukturdaten'!$C$15,VLOOKUP(Prognoseergebnis!G18-'Erkrankungs- und Strukturdaten'!$C$15,$A:$D,$D$6,FALSE)*'Erkrankungs- und Strukturdaten'!$C$9,0),0)</f>
        <v>6921</v>
      </c>
      <c r="J18" s="5">
        <f>I18*'Erkrankungs- und Strukturdaten'!$C$10/'Erkrankungs- und Strukturdaten'!$C$9</f>
        <v>3391.29</v>
      </c>
      <c r="K18" s="5">
        <f>I18*'Erkrankungs- und Strukturdaten'!$C$21</f>
        <v>138420</v>
      </c>
      <c r="L18" s="12"/>
      <c r="N18" s="10"/>
      <c r="O18" s="5">
        <f>IF(AND(((H18/'Erkrankungs- und Strukturdaten'!$C$25)*'Erkrankungs- und Strukturdaten'!$E$27)+(H18/'Erkrankungs- und Strukturdaten'!$C$26)&lt;1,((H18/'Erkrankungs- und Strukturdaten'!$C$25)*'Erkrankungs- und Strukturdaten'!$E$27)+(H18/'Erkrankungs- und Strukturdaten'!$C$26)&gt;0),1,((H18/'Erkrankungs- und Strukturdaten'!$C$25)*'Erkrankungs- und Strukturdaten'!$E$27)+(H18/'Erkrankungs- und Strukturdaten'!$C$26))</f>
        <v>825.5</v>
      </c>
      <c r="P18" s="5">
        <f>ROUNDUP(((I18/'Erkrankungs- und Strukturdaten'!$C$28)*'Erkrankungs- und Strukturdaten'!$E$30)+(I18/'Erkrankungs- und Strukturdaten'!$C$29),0)</f>
        <v>7515</v>
      </c>
      <c r="Q18" s="5">
        <f>ROUNDUP((H18/'Erkrankungs- und Strukturdaten'!$C$34*'Erkrankungs- und Strukturdaten'!$E$36)+(H18/'Erkrankungs- und Strukturdaten'!$C$35),0)</f>
        <v>133</v>
      </c>
      <c r="R18" s="5">
        <f>ROUNDUP((I18*'Erkrankungs- und Strukturdaten'!$C$40/'Erkrankungs- und Strukturdaten'!$C$38*'Erkrankungs- und Strukturdaten'!$E$39)+(I18*(1-'Erkrankungs- und Strukturdaten'!$C$40)/'Erkrankungs- und Strukturdaten'!$C$37*'Erkrankungs- und Strukturdaten'!$E$39),0)</f>
        <v>946</v>
      </c>
      <c r="S18" s="19"/>
      <c r="T18" s="48"/>
      <c r="U18" s="42"/>
      <c r="V18" s="42"/>
    </row>
    <row r="19" spans="1:22" ht="14.85" hidden="1" customHeight="1" x14ac:dyDescent="0.2">
      <c r="A19" s="42">
        <v>10</v>
      </c>
      <c r="B19" s="373"/>
      <c r="C19" s="28">
        <f t="shared" si="0"/>
        <v>44296</v>
      </c>
      <c r="D19" s="6">
        <f>SUMIF('Fallzahlen (Berechnung)'!D:D,"&lt;="&amp;Prognoseergebnis!C19,'Fallzahlen (Berechnung)'!E:E)-'Fallzahlen (Berechnung)'!$E$1</f>
        <v>619664</v>
      </c>
      <c r="E19" s="114">
        <f>VLOOKUP(C19,'Fallzahlen (Berechnung)'!$D:$E,'Fallzahlen (Berechnung)'!$E$1,FALSE)</f>
        <v>1682</v>
      </c>
      <c r="F19" s="56"/>
      <c r="G19" s="18">
        <v>10</v>
      </c>
      <c r="H19" s="6">
        <f>ROUND('Erkrankungs- und Strukturdaten'!$C$8*D19-IF(G19&gt;'Erkrankungs- und Strukturdaten'!$C$14,VLOOKUP(Prognoseergebnis!G19-ROUNDDOWN('Erkrankungs- und Strukturdaten'!$C$14,0),$A:$D,$D$6,FALSE)*'Erkrankungs- und Strukturdaten'!$C$8,0)
+IF(G19&gt;'Erkrankungs- und Strukturdaten'!$C$15,VLOOKUP(Prognoseergebnis!G19-ROUNDDOWN('Erkrankungs- und Strukturdaten'!$C$15,0),A:D,$D$6,FALSE)*'Erkrankungs- und Strukturdaten'!$C$9,0)
-IF(G19&gt;'Erkrankungs- und Strukturdaten'!$C$15+'Erkrankungs- und Strukturdaten'!$C$16,VLOOKUP(Prognoseergebnis!G19-ROUNDDOWN('Erkrankungs- und Strukturdaten'!$C$15-'Erkrankungs- und Strukturdaten'!$C$16,0),A:D,$D$6,FALSE)*'Erkrankungs- und Strukturdaten'!$C$9,0),0)</f>
        <v>1956</v>
      </c>
      <c r="I19" s="6">
        <f>ROUND('Erkrankungs- und Strukturdaten'!$C$9*D19-IF(G19&gt;'Erkrankungs- und Strukturdaten'!$C$15,VLOOKUP(Prognoseergebnis!G19-'Erkrankungs- und Strukturdaten'!$C$15,$A:$D,$D$6,FALSE)*'Erkrankungs- und Strukturdaten'!$C$9,0),0)</f>
        <v>6940</v>
      </c>
      <c r="J19" s="6">
        <f>I19*'Erkrankungs- und Strukturdaten'!$C$10/'Erkrankungs- und Strukturdaten'!$C$9</f>
        <v>3400.6</v>
      </c>
      <c r="K19" s="6">
        <f>I19*'Erkrankungs- und Strukturdaten'!$C$21</f>
        <v>138800</v>
      </c>
      <c r="L19" s="11"/>
      <c r="N19" s="9"/>
      <c r="O19" s="6">
        <f>IF(AND(((H19/'Erkrankungs- und Strukturdaten'!$C$25)*'Erkrankungs- und Strukturdaten'!$E$27)+(H19/'Erkrankungs- und Strukturdaten'!$C$26)&lt;1,((H19/'Erkrankungs- und Strukturdaten'!$C$25)*'Erkrankungs- und Strukturdaten'!$E$27)+(H19/'Erkrankungs- und Strukturdaten'!$C$26)&gt;0),1,((H19/'Erkrankungs- und Strukturdaten'!$C$25)*'Erkrankungs- und Strukturdaten'!$E$27)+(H19/'Erkrankungs- und Strukturdaten'!$C$26))</f>
        <v>847.6</v>
      </c>
      <c r="P19" s="6">
        <f>ROUNDUP(((I19/'Erkrankungs- und Strukturdaten'!$C$28)*'Erkrankungs- und Strukturdaten'!$E$30)+(I19/'Erkrankungs- und Strukturdaten'!$C$29),0)</f>
        <v>7535</v>
      </c>
      <c r="Q19" s="6">
        <f>ROUNDUP((H19/'Erkrankungs- und Strukturdaten'!$C$34*'Erkrankungs- und Strukturdaten'!$E$36)+(H19/'Erkrankungs- und Strukturdaten'!$C$35),0)</f>
        <v>136</v>
      </c>
      <c r="R19" s="6">
        <f>ROUNDUP((I19*'Erkrankungs- und Strukturdaten'!$C$40/'Erkrankungs- und Strukturdaten'!$C$38*'Erkrankungs- und Strukturdaten'!$E$39)+(I19*(1-'Erkrankungs- und Strukturdaten'!$C$40)/'Erkrankungs- und Strukturdaten'!$C$37*'Erkrankungs- und Strukturdaten'!$E$39),0)</f>
        <v>949</v>
      </c>
      <c r="S19" s="19"/>
      <c r="T19" s="48"/>
      <c r="U19" s="42"/>
      <c r="V19" s="42"/>
    </row>
    <row r="20" spans="1:22" ht="14.85" hidden="1" customHeight="1" x14ac:dyDescent="0.2">
      <c r="A20" s="42">
        <v>11</v>
      </c>
      <c r="B20" s="373"/>
      <c r="C20" s="28">
        <f t="shared" si="0"/>
        <v>44297</v>
      </c>
      <c r="D20" s="5">
        <f>SUMIF('Fallzahlen (Berechnung)'!D:D,"&lt;="&amp;Prognoseergebnis!C20,'Fallzahlen (Berechnung)'!E:E)-'Fallzahlen (Berechnung)'!$E$1</f>
        <v>620843</v>
      </c>
      <c r="E20" s="115">
        <f>VLOOKUP(C20,'Fallzahlen (Berechnung)'!$D:$E,'Fallzahlen (Berechnung)'!$E$1,FALSE)</f>
        <v>1179</v>
      </c>
      <c r="F20" s="56"/>
      <c r="G20" s="18">
        <v>11</v>
      </c>
      <c r="H20" s="5">
        <f>ROUND('Erkrankungs- und Strukturdaten'!$C$8*D20-IF(G20&gt;'Erkrankungs- und Strukturdaten'!$C$14,VLOOKUP(Prognoseergebnis!G20-ROUNDDOWN('Erkrankungs- und Strukturdaten'!$C$14,0),$A:$D,$D$6,FALSE)*'Erkrankungs- und Strukturdaten'!$C$8,0)
+IF(G20&gt;'Erkrankungs- und Strukturdaten'!$C$15,VLOOKUP(Prognoseergebnis!G20-ROUNDDOWN('Erkrankungs- und Strukturdaten'!$C$15,0),A:D,$D$6,FALSE)*'Erkrankungs- und Strukturdaten'!$C$9,0)
-IF(G20&gt;'Erkrankungs- und Strukturdaten'!$C$15+'Erkrankungs- und Strukturdaten'!$C$16,VLOOKUP(Prognoseergebnis!G20-ROUNDDOWN('Erkrankungs- und Strukturdaten'!$C$15-'Erkrankungs- und Strukturdaten'!$C$16,0),A:D,$D$6,FALSE)*'Erkrankungs- und Strukturdaten'!$C$9,0),0)</f>
        <v>1978</v>
      </c>
      <c r="I20" s="5">
        <f>ROUND('Erkrankungs- und Strukturdaten'!$C$9*D20-IF(G20&gt;'Erkrankungs- und Strukturdaten'!$C$15,VLOOKUP(Prognoseergebnis!G20-'Erkrankungs- und Strukturdaten'!$C$15,$A:$D,$D$6,FALSE)*'Erkrankungs- und Strukturdaten'!$C$9,0),0)</f>
        <v>6953</v>
      </c>
      <c r="J20" s="5">
        <f>I20*'Erkrankungs- und Strukturdaten'!$C$10/'Erkrankungs- und Strukturdaten'!$C$9</f>
        <v>3406.97</v>
      </c>
      <c r="K20" s="5">
        <f>I20*'Erkrankungs- und Strukturdaten'!$C$21</f>
        <v>139060</v>
      </c>
      <c r="L20" s="11"/>
      <c r="N20" s="9"/>
      <c r="O20" s="5">
        <f>IF(AND(((H20/'Erkrankungs- und Strukturdaten'!$C$25)*'Erkrankungs- und Strukturdaten'!$E$27)+(H20/'Erkrankungs- und Strukturdaten'!$C$26)&lt;1,((H20/'Erkrankungs- und Strukturdaten'!$C$25)*'Erkrankungs- und Strukturdaten'!$E$27)+(H20/'Erkrankungs- und Strukturdaten'!$C$26)&gt;0),1,((H20/'Erkrankungs- und Strukturdaten'!$C$25)*'Erkrankungs- und Strukturdaten'!$E$27)+(H20/'Erkrankungs- und Strukturdaten'!$C$26))</f>
        <v>857.13333333333344</v>
      </c>
      <c r="P20" s="5">
        <f>ROUNDUP(((I20/'Erkrankungs- und Strukturdaten'!$C$28)*'Erkrankungs- und Strukturdaten'!$E$30)+(I20/'Erkrankungs- und Strukturdaten'!$C$29),0)</f>
        <v>7549</v>
      </c>
      <c r="Q20" s="5">
        <f>ROUNDUP((H20/'Erkrankungs- und Strukturdaten'!$C$34*'Erkrankungs- und Strukturdaten'!$E$36)+(H20/'Erkrankungs- und Strukturdaten'!$C$35),0)</f>
        <v>138</v>
      </c>
      <c r="R20" s="5">
        <f>ROUNDUP((I20*'Erkrankungs- und Strukturdaten'!$C$40/'Erkrankungs- und Strukturdaten'!$C$38*'Erkrankungs- und Strukturdaten'!$E$39)+(I20*(1-'Erkrankungs- und Strukturdaten'!$C$40)/'Erkrankungs- und Strukturdaten'!$C$37*'Erkrankungs- und Strukturdaten'!$E$39),0)</f>
        <v>951</v>
      </c>
      <c r="S20" s="19"/>
      <c r="T20" s="48"/>
      <c r="U20" s="42"/>
      <c r="V20" s="42"/>
    </row>
    <row r="21" spans="1:22" ht="14.85" hidden="1" customHeight="1" x14ac:dyDescent="0.2">
      <c r="A21" s="42">
        <v>12</v>
      </c>
      <c r="B21" s="373"/>
      <c r="C21" s="28">
        <f t="shared" si="0"/>
        <v>44298</v>
      </c>
      <c r="D21" s="6">
        <f>SUMIF('Fallzahlen (Berechnung)'!D:D,"&lt;="&amp;Prognoseergebnis!C21,'Fallzahlen (Berechnung)'!E:E)-'Fallzahlen (Berechnung)'!$E$1</f>
        <v>623587</v>
      </c>
      <c r="E21" s="114">
        <f>VLOOKUP(C21,'Fallzahlen (Berechnung)'!$D:$E,'Fallzahlen (Berechnung)'!$E$1,FALSE)</f>
        <v>2744</v>
      </c>
      <c r="F21" s="56"/>
      <c r="G21" s="18">
        <v>12</v>
      </c>
      <c r="H21" s="6">
        <f>ROUND('Erkrankungs- und Strukturdaten'!$C$8*D21-IF(G21&gt;'Erkrankungs- und Strukturdaten'!$C$14,VLOOKUP(Prognoseergebnis!G21-ROUNDDOWN('Erkrankungs- und Strukturdaten'!$C$14,0),$A:$D,$D$6,FALSE)*'Erkrankungs- und Strukturdaten'!$C$8,0)
+IF(G21&gt;'Erkrankungs- und Strukturdaten'!$C$15,VLOOKUP(Prognoseergebnis!G21-ROUNDDOWN('Erkrankungs- und Strukturdaten'!$C$15,0),A:D,$D$6,FALSE)*'Erkrankungs- und Strukturdaten'!$C$9,0)
-IF(G21&gt;'Erkrankungs- und Strukturdaten'!$C$15+'Erkrankungs- und Strukturdaten'!$C$16,VLOOKUP(Prognoseergebnis!G21-ROUNDDOWN('Erkrankungs- und Strukturdaten'!$C$15-'Erkrankungs- und Strukturdaten'!$C$16,0),A:D,$D$6,FALSE)*'Erkrankungs- und Strukturdaten'!$C$9,0),0)</f>
        <v>2182</v>
      </c>
      <c r="I21" s="6">
        <f>ROUND('Erkrankungs- und Strukturdaten'!$C$9*D21-IF(G21&gt;'Erkrankungs- und Strukturdaten'!$C$15,VLOOKUP(Prognoseergebnis!G21-'Erkrankungs- und Strukturdaten'!$C$15,$A:$D,$D$6,FALSE)*'Erkrankungs- und Strukturdaten'!$C$9,0),0)</f>
        <v>6984</v>
      </c>
      <c r="J21" s="6">
        <f>I21*'Erkrankungs- und Strukturdaten'!$C$10/'Erkrankungs- und Strukturdaten'!$C$9</f>
        <v>3422.16</v>
      </c>
      <c r="K21" s="6">
        <f>I21*'Erkrankungs- und Strukturdaten'!$C$21</f>
        <v>139680</v>
      </c>
      <c r="L21" s="11"/>
      <c r="N21" s="9"/>
      <c r="O21" s="6">
        <f>IF(AND(((H21/'Erkrankungs- und Strukturdaten'!$C$25)*'Erkrankungs- und Strukturdaten'!$E$27)+(H21/'Erkrankungs- und Strukturdaten'!$C$26)&lt;1,((H21/'Erkrankungs- und Strukturdaten'!$C$25)*'Erkrankungs- und Strukturdaten'!$E$27)+(H21/'Erkrankungs- und Strukturdaten'!$C$26)&gt;0),1,((H21/'Erkrankungs- und Strukturdaten'!$C$25)*'Erkrankungs- und Strukturdaten'!$E$27)+(H21/'Erkrankungs- und Strukturdaten'!$C$26))</f>
        <v>945.5333333333333</v>
      </c>
      <c r="P21" s="6">
        <f>ROUNDUP(((I21/'Erkrankungs- und Strukturdaten'!$C$28)*'Erkrankungs- und Strukturdaten'!$E$30)+(I21/'Erkrankungs- und Strukturdaten'!$C$29),0)</f>
        <v>7583</v>
      </c>
      <c r="Q21" s="6">
        <f>ROUNDUP((H21/'Erkrankungs- und Strukturdaten'!$C$34*'Erkrankungs- und Strukturdaten'!$E$36)+(H21/'Erkrankungs- und Strukturdaten'!$C$35),0)</f>
        <v>152</v>
      </c>
      <c r="R21" s="6">
        <f>ROUNDUP((I21*'Erkrankungs- und Strukturdaten'!$C$40/'Erkrankungs- und Strukturdaten'!$C$38*'Erkrankungs- und Strukturdaten'!$E$39)+(I21*(1-'Erkrankungs- und Strukturdaten'!$C$40)/'Erkrankungs- und Strukturdaten'!$C$37*'Erkrankungs- und Strukturdaten'!$E$39),0)</f>
        <v>955</v>
      </c>
      <c r="S21" s="19"/>
      <c r="T21" s="48"/>
      <c r="U21" s="42"/>
      <c r="V21" s="42"/>
    </row>
    <row r="22" spans="1:22" ht="14.85" hidden="1" customHeight="1" x14ac:dyDescent="0.2">
      <c r="A22" s="42">
        <v>13</v>
      </c>
      <c r="B22" s="373"/>
      <c r="C22" s="28">
        <f t="shared" si="0"/>
        <v>44299</v>
      </c>
      <c r="D22" s="5">
        <f>SUMIF('Fallzahlen (Berechnung)'!D:D,"&lt;="&amp;Prognoseergebnis!C22,'Fallzahlen (Berechnung)'!E:E)-'Fallzahlen (Berechnung)'!$E$1</f>
        <v>625963</v>
      </c>
      <c r="E22" s="115">
        <f>VLOOKUP(C22,'Fallzahlen (Berechnung)'!$D:$E,'Fallzahlen (Berechnung)'!$E$1,FALSE)</f>
        <v>2376</v>
      </c>
      <c r="F22" s="56"/>
      <c r="G22" s="18">
        <v>13</v>
      </c>
      <c r="H22" s="5">
        <f>ROUND('Erkrankungs- und Strukturdaten'!$C$8*D22-IF(G22&gt;'Erkrankungs- und Strukturdaten'!$C$14,VLOOKUP(Prognoseergebnis!G22-ROUNDDOWN('Erkrankungs- und Strukturdaten'!$C$14,0),$A:$D,$D$6,FALSE)*'Erkrankungs- und Strukturdaten'!$C$8,0)
+IF(G22&gt;'Erkrankungs- und Strukturdaten'!$C$15,VLOOKUP(Prognoseergebnis!G22-ROUNDDOWN('Erkrankungs- und Strukturdaten'!$C$15,0),A:D,$D$6,FALSE)*'Erkrankungs- und Strukturdaten'!$C$9,0)
-IF(G22&gt;'Erkrankungs- und Strukturdaten'!$C$15+'Erkrankungs- und Strukturdaten'!$C$16,VLOOKUP(Prognoseergebnis!G22-ROUNDDOWN('Erkrankungs- und Strukturdaten'!$C$15-'Erkrankungs- und Strukturdaten'!$C$16,0),A:D,$D$6,FALSE)*'Erkrankungs- und Strukturdaten'!$C$9,0),0)</f>
        <v>2138</v>
      </c>
      <c r="I22" s="5">
        <f>ROUND('Erkrankungs- und Strukturdaten'!$C$9*D22-IF(G22&gt;'Erkrankungs- und Strukturdaten'!$C$15,VLOOKUP(Prognoseergebnis!G22-'Erkrankungs- und Strukturdaten'!$C$15,$A:$D,$D$6,FALSE)*'Erkrankungs- und Strukturdaten'!$C$9,0),0)</f>
        <v>7011</v>
      </c>
      <c r="J22" s="5">
        <f>I22*'Erkrankungs- und Strukturdaten'!$C$10/'Erkrankungs- und Strukturdaten'!$C$9</f>
        <v>3435.3900000000003</v>
      </c>
      <c r="K22" s="5">
        <f>I22*'Erkrankungs- und Strukturdaten'!$C$21</f>
        <v>140220</v>
      </c>
      <c r="L22" s="11"/>
      <c r="N22" s="9"/>
      <c r="O22" s="5">
        <f>IF(AND(((H22/'Erkrankungs- und Strukturdaten'!$C$25)*'Erkrankungs- und Strukturdaten'!$E$27)+(H22/'Erkrankungs- und Strukturdaten'!$C$26)&lt;1,((H22/'Erkrankungs- und Strukturdaten'!$C$25)*'Erkrankungs- und Strukturdaten'!$E$27)+(H22/'Erkrankungs- und Strukturdaten'!$C$26)&gt;0),1,((H22/'Erkrankungs- und Strukturdaten'!$C$25)*'Erkrankungs- und Strukturdaten'!$E$27)+(H22/'Erkrankungs- und Strukturdaten'!$C$26))</f>
        <v>926.4666666666667</v>
      </c>
      <c r="P22" s="5">
        <f>ROUNDUP(((I22/'Erkrankungs- und Strukturdaten'!$C$28)*'Erkrankungs- und Strukturdaten'!$E$30)+(I22/'Erkrankungs- und Strukturdaten'!$C$29),0)</f>
        <v>7612</v>
      </c>
      <c r="Q22" s="5">
        <f>ROUNDUP((H22/'Erkrankungs- und Strukturdaten'!$C$34*'Erkrankungs- und Strukturdaten'!$E$36)+(H22/'Erkrankungs- und Strukturdaten'!$C$35),0)</f>
        <v>149</v>
      </c>
      <c r="R22" s="5">
        <f>ROUNDUP((I22*'Erkrankungs- und Strukturdaten'!$C$40/'Erkrankungs- und Strukturdaten'!$C$38*'Erkrankungs- und Strukturdaten'!$E$39)+(I22*(1-'Erkrankungs- und Strukturdaten'!$C$40)/'Erkrankungs- und Strukturdaten'!$C$37*'Erkrankungs- und Strukturdaten'!$E$39),0)</f>
        <v>959</v>
      </c>
      <c r="S22" s="19"/>
      <c r="T22" s="48"/>
      <c r="U22" s="42"/>
      <c r="V22" s="42"/>
    </row>
    <row r="23" spans="1:22" ht="14.85" hidden="1" customHeight="1" x14ac:dyDescent="0.2">
      <c r="A23" s="42">
        <v>14</v>
      </c>
      <c r="B23" s="373"/>
      <c r="C23" s="28">
        <f t="shared" si="0"/>
        <v>44300</v>
      </c>
      <c r="D23" s="6">
        <f>SUMIF('Fallzahlen (Berechnung)'!D:D,"&lt;="&amp;Prognoseergebnis!C23,'Fallzahlen (Berechnung)'!E:E)-'Fallzahlen (Berechnung)'!$E$1</f>
        <v>628174</v>
      </c>
      <c r="E23" s="119">
        <f>VLOOKUP(C23,'Fallzahlen (Berechnung)'!$D:$E,'Fallzahlen (Berechnung)'!$E$1,FALSE)</f>
        <v>2211</v>
      </c>
      <c r="F23" s="56"/>
      <c r="G23" s="18">
        <v>14</v>
      </c>
      <c r="H23" s="6">
        <f>ROUND('Erkrankungs- und Strukturdaten'!$C$8*D23-IF(G23&gt;'Erkrankungs- und Strukturdaten'!$C$14,VLOOKUP(Prognoseergebnis!G23-ROUNDDOWN('Erkrankungs- und Strukturdaten'!$C$14,0),$A:$D,$D$6,FALSE)*'Erkrankungs- und Strukturdaten'!$C$8,0)
+IF(G23&gt;'Erkrankungs- und Strukturdaten'!$C$15,VLOOKUP(Prognoseergebnis!G23-ROUNDDOWN('Erkrankungs- und Strukturdaten'!$C$15,0),A:D,$D$6,FALSE)*'Erkrankungs- und Strukturdaten'!$C$9,0)
-IF(G23&gt;'Erkrankungs- und Strukturdaten'!$C$15+'Erkrankungs- und Strukturdaten'!$C$16,VLOOKUP(Prognoseergebnis!G23-ROUNDDOWN('Erkrankungs- und Strukturdaten'!$C$15-'Erkrankungs- und Strukturdaten'!$C$16,0),A:D,$D$6,FALSE)*'Erkrankungs- und Strukturdaten'!$C$9,0),0)</f>
        <v>2113</v>
      </c>
      <c r="I23" s="6">
        <f>ROUND('Erkrankungs- und Strukturdaten'!$C$9*D23-IF(G23&gt;'Erkrankungs- und Strukturdaten'!$C$15,VLOOKUP(Prognoseergebnis!G23-'Erkrankungs- und Strukturdaten'!$C$15,$A:$D,$D$6,FALSE)*'Erkrankungs- und Strukturdaten'!$C$9,0),0)</f>
        <v>7036</v>
      </c>
      <c r="J23" s="6">
        <f>I23*'Erkrankungs- und Strukturdaten'!$C$10/'Erkrankungs- und Strukturdaten'!$C$9</f>
        <v>3447.6400000000003</v>
      </c>
      <c r="K23" s="6">
        <f>I23*'Erkrankungs- und Strukturdaten'!$C$21</f>
        <v>140720</v>
      </c>
      <c r="L23" s="11"/>
      <c r="N23" s="9"/>
      <c r="O23" s="6">
        <f>IF(AND(((H23/'Erkrankungs- und Strukturdaten'!$C$25)*'Erkrankungs- und Strukturdaten'!$E$27)+(H23/'Erkrankungs- und Strukturdaten'!$C$26)&lt;1,((H23/'Erkrankungs- und Strukturdaten'!$C$25)*'Erkrankungs- und Strukturdaten'!$E$27)+(H23/'Erkrankungs- und Strukturdaten'!$C$26)&gt;0),1,((H23/'Erkrankungs- und Strukturdaten'!$C$25)*'Erkrankungs- und Strukturdaten'!$E$27)+(H23/'Erkrankungs- und Strukturdaten'!$C$26))</f>
        <v>915.63333333333344</v>
      </c>
      <c r="P23" s="6">
        <f>ROUNDUP(((I23/'Erkrankungs- und Strukturdaten'!$C$28)*'Erkrankungs- und Strukturdaten'!$E$30)+(I23/'Erkrankungs- und Strukturdaten'!$C$29),0)</f>
        <v>7640</v>
      </c>
      <c r="Q23" s="6">
        <f>ROUNDUP((H23/'Erkrankungs- und Strukturdaten'!$C$34*'Erkrankungs- und Strukturdaten'!$E$36)+(H23/'Erkrankungs- und Strukturdaten'!$C$35),0)</f>
        <v>147</v>
      </c>
      <c r="R23" s="6">
        <f>ROUNDUP((I23*'Erkrankungs- und Strukturdaten'!$C$40/'Erkrankungs- und Strukturdaten'!$C$38*'Erkrankungs- und Strukturdaten'!$E$39)+(I23*(1-'Erkrankungs- und Strukturdaten'!$C$40)/'Erkrankungs- und Strukturdaten'!$C$37*'Erkrankungs- und Strukturdaten'!$E$39),0)</f>
        <v>962</v>
      </c>
      <c r="S23" s="19"/>
      <c r="T23" s="48"/>
      <c r="U23" s="42"/>
      <c r="V23" s="42"/>
    </row>
    <row r="24" spans="1:22" ht="14.85" hidden="1" customHeight="1" x14ac:dyDescent="0.2">
      <c r="A24" s="42">
        <v>15</v>
      </c>
      <c r="B24" s="378" t="s">
        <v>244</v>
      </c>
      <c r="C24" s="28">
        <f t="shared" si="0"/>
        <v>44301</v>
      </c>
      <c r="D24" s="5">
        <f>SUMIF('Fallzahlen (Berechnung)'!D:D,"&lt;="&amp;Prognoseergebnis!C24,'Fallzahlen (Berechnung)'!E:E)-'Fallzahlen (Berechnung)'!$E$1</f>
        <v>630321</v>
      </c>
      <c r="E24" s="116">
        <f>VLOOKUP(C24,'Fallzahlen (Berechnung)'!$D:$E,'Fallzahlen (Berechnung)'!$E$1,FALSE)</f>
        <v>2147</v>
      </c>
      <c r="F24" s="26"/>
      <c r="G24" s="18">
        <v>15</v>
      </c>
      <c r="H24" s="5">
        <f>ROUND('Erkrankungs- und Strukturdaten'!$C$8*D24-IF(G24&gt;'Erkrankungs- und Strukturdaten'!$C$14,VLOOKUP(Prognoseergebnis!G24-ROUNDDOWN('Erkrankungs- und Strukturdaten'!$C$14,0),$A:$D,$D$6,FALSE)*'Erkrankungs- und Strukturdaten'!$C$8,0)
+IF(G24&gt;'Erkrankungs- und Strukturdaten'!$C$15,VLOOKUP(Prognoseergebnis!G24-ROUNDDOWN('Erkrankungs- und Strukturdaten'!$C$15,0),A:D,$D$6,FALSE)*'Erkrankungs- und Strukturdaten'!$C$9,0)
-IF(G24&gt;'Erkrankungs- und Strukturdaten'!$C$15+'Erkrankungs- und Strukturdaten'!$C$16,VLOOKUP(Prognoseergebnis!G24-ROUNDDOWN('Erkrankungs- und Strukturdaten'!$C$15-'Erkrankungs- und Strukturdaten'!$C$16,0),A:D,$D$6,FALSE)*'Erkrankungs- und Strukturdaten'!$C$9,0),0)</f>
        <v>2065</v>
      </c>
      <c r="I24" s="5">
        <f>ROUND('Erkrankungs- und Strukturdaten'!$C$9*D24-IF(G24&gt;'Erkrankungs- und Strukturdaten'!$C$15,VLOOKUP(Prognoseergebnis!G24-'Erkrankungs- und Strukturdaten'!$C$15,$A:$D,$D$6,FALSE)*'Erkrankungs- und Strukturdaten'!$C$9,0),0)</f>
        <v>7060</v>
      </c>
      <c r="J24" s="5">
        <f>I24*'Erkrankungs- und Strukturdaten'!$C$10/'Erkrankungs- und Strukturdaten'!$C$9</f>
        <v>3459.4</v>
      </c>
      <c r="K24" s="5">
        <f>I24*'Erkrankungs- und Strukturdaten'!$C$21</f>
        <v>141200</v>
      </c>
      <c r="L24" s="11"/>
      <c r="N24" s="9"/>
      <c r="O24" s="5">
        <f>IF(AND(((H24/'Erkrankungs- und Strukturdaten'!$C$25)*'Erkrankungs- und Strukturdaten'!$E$27)+(H24/'Erkrankungs- und Strukturdaten'!$C$26)&lt;1,((H24/'Erkrankungs- und Strukturdaten'!$C$25)*'Erkrankungs- und Strukturdaten'!$E$27)+(H24/'Erkrankungs- und Strukturdaten'!$C$26)&gt;0),1,((H24/'Erkrankungs- und Strukturdaten'!$C$25)*'Erkrankungs- und Strukturdaten'!$E$27)+(H24/'Erkrankungs- und Strukturdaten'!$C$26))</f>
        <v>894.83333333333337</v>
      </c>
      <c r="P24" s="5">
        <f>ROUNDUP(((I24/'Erkrankungs- und Strukturdaten'!$C$28)*'Erkrankungs- und Strukturdaten'!$E$30)+(I24/'Erkrankungs- und Strukturdaten'!$C$29),0)</f>
        <v>7666</v>
      </c>
      <c r="Q24" s="5">
        <f>ROUNDUP((H24/'Erkrankungs- und Strukturdaten'!$C$34*'Erkrankungs- und Strukturdaten'!$E$36)+(H24/'Erkrankungs- und Strukturdaten'!$C$35),0)</f>
        <v>144</v>
      </c>
      <c r="R24" s="5">
        <f>ROUNDUP((I24*'Erkrankungs- und Strukturdaten'!$C$40/'Erkrankungs- und Strukturdaten'!$C$38*'Erkrankungs- und Strukturdaten'!$E$39)+(I24*(1-'Erkrankungs- und Strukturdaten'!$C$40)/'Erkrankungs- und Strukturdaten'!$C$37*'Erkrankungs- und Strukturdaten'!$E$39),0)</f>
        <v>965</v>
      </c>
      <c r="S24" s="19"/>
      <c r="T24" s="51"/>
      <c r="U24" s="42"/>
      <c r="V24" s="42"/>
    </row>
    <row r="25" spans="1:22" ht="14.85" hidden="1" customHeight="1" x14ac:dyDescent="0.2">
      <c r="A25" s="42">
        <v>16</v>
      </c>
      <c r="B25" s="375"/>
      <c r="C25" s="28">
        <f t="shared" si="0"/>
        <v>44302</v>
      </c>
      <c r="D25" s="6">
        <f>SUMIF('Fallzahlen (Berechnung)'!D:D,"&lt;="&amp;Prognoseergebnis!C25,'Fallzahlen (Berechnung)'!E:E)-'Fallzahlen (Berechnung)'!$E$1</f>
        <v>632438</v>
      </c>
      <c r="E25" s="114">
        <f>VLOOKUP(C25,'Fallzahlen (Berechnung)'!$D:$E,'Fallzahlen (Berechnung)'!$E$1,FALSE)</f>
        <v>2117</v>
      </c>
      <c r="F25" s="26"/>
      <c r="G25" s="18">
        <v>16</v>
      </c>
      <c r="H25" s="6">
        <f>ROUND('Erkrankungs- und Strukturdaten'!$C$8*D25-IF(G25&gt;'Erkrankungs- und Strukturdaten'!$C$14,VLOOKUP(Prognoseergebnis!G25-ROUNDDOWN('Erkrankungs- und Strukturdaten'!$C$14,0),$A:$D,$D$6,FALSE)*'Erkrankungs- und Strukturdaten'!$C$8,0)
+IF(G25&gt;'Erkrankungs- und Strukturdaten'!$C$15,VLOOKUP(Prognoseergebnis!G25-ROUNDDOWN('Erkrankungs- und Strukturdaten'!$C$15,0),A:D,$D$6,FALSE)*'Erkrankungs- und Strukturdaten'!$C$9,0)
-IF(G25&gt;'Erkrankungs- und Strukturdaten'!$C$15+'Erkrankungs- und Strukturdaten'!$C$16,VLOOKUP(Prognoseergebnis!G25-ROUNDDOWN('Erkrankungs- und Strukturdaten'!$C$15-'Erkrankungs- und Strukturdaten'!$C$16,0),A:D,$D$6,FALSE)*'Erkrankungs- und Strukturdaten'!$C$9,0),0)</f>
        <v>2024</v>
      </c>
      <c r="I25" s="6">
        <f>ROUND('Erkrankungs- und Strukturdaten'!$C$9*D25-IF(G25&gt;'Erkrankungs- und Strukturdaten'!$C$15,VLOOKUP(Prognoseergebnis!G25-'Erkrankungs- und Strukturdaten'!$C$15,$A:$D,$D$6,FALSE)*'Erkrankungs- und Strukturdaten'!$C$9,0),0)</f>
        <v>7083</v>
      </c>
      <c r="J25" s="6">
        <f>I25*'Erkrankungs- und Strukturdaten'!$C$10/'Erkrankungs- und Strukturdaten'!$C$9</f>
        <v>3470.6699999999996</v>
      </c>
      <c r="K25" s="6">
        <f>I25*'Erkrankungs- und Strukturdaten'!$C$21</f>
        <v>141660</v>
      </c>
      <c r="L25" s="12"/>
      <c r="N25" s="10"/>
      <c r="O25" s="6">
        <f>IF(AND(((H25/'Erkrankungs- und Strukturdaten'!$C$25)*'Erkrankungs- und Strukturdaten'!$E$27)+(H25/'Erkrankungs- und Strukturdaten'!$C$26)&lt;1,((H25/'Erkrankungs- und Strukturdaten'!$C$25)*'Erkrankungs- und Strukturdaten'!$E$27)+(H25/'Erkrankungs- und Strukturdaten'!$C$26)&gt;0),1,((H25/'Erkrankungs- und Strukturdaten'!$C$25)*'Erkrankungs- und Strukturdaten'!$E$27)+(H25/'Erkrankungs- und Strukturdaten'!$C$26))</f>
        <v>877.06666666666661</v>
      </c>
      <c r="P25" s="6">
        <f>ROUNDUP(((I25/'Erkrankungs- und Strukturdaten'!$C$28)*'Erkrankungs- und Strukturdaten'!$E$30)+(I25/'Erkrankungs- und Strukturdaten'!$C$29),0)</f>
        <v>7691</v>
      </c>
      <c r="Q25" s="6">
        <f>ROUNDUP((H25/'Erkrankungs- und Strukturdaten'!$C$34*'Erkrankungs- und Strukturdaten'!$E$36)+(H25/'Erkrankungs- und Strukturdaten'!$C$35),0)</f>
        <v>141</v>
      </c>
      <c r="R25" s="6">
        <f>ROUNDUP((I25*'Erkrankungs- und Strukturdaten'!$C$40/'Erkrankungs- und Strukturdaten'!$C$38*'Erkrankungs- und Strukturdaten'!$E$39)+(I25*(1-'Erkrankungs- und Strukturdaten'!$C$40)/'Erkrankungs- und Strukturdaten'!$C$37*'Erkrankungs- und Strukturdaten'!$E$39),0)</f>
        <v>969</v>
      </c>
      <c r="S25" s="19"/>
      <c r="T25" s="51"/>
      <c r="U25" s="42"/>
      <c r="V25" s="42"/>
    </row>
    <row r="26" spans="1:22" ht="14.85" hidden="1" customHeight="1" x14ac:dyDescent="0.2">
      <c r="A26" s="42">
        <v>17</v>
      </c>
      <c r="B26" s="375"/>
      <c r="C26" s="28">
        <f t="shared" si="0"/>
        <v>44303</v>
      </c>
      <c r="D26" s="5">
        <f>SUMIF('Fallzahlen (Berechnung)'!D:D,"&lt;="&amp;Prognoseergebnis!C26,'Fallzahlen (Berechnung)'!E:E)-'Fallzahlen (Berechnung)'!$E$1</f>
        <v>633867</v>
      </c>
      <c r="E26" s="115">
        <f>VLOOKUP(C26,'Fallzahlen (Berechnung)'!$D:$E,'Fallzahlen (Berechnung)'!$E$1,FALSE)</f>
        <v>1429</v>
      </c>
      <c r="F26" s="26"/>
      <c r="G26" s="18">
        <v>17</v>
      </c>
      <c r="H26" s="5">
        <f>ROUND('Erkrankungs- und Strukturdaten'!$C$8*D26-IF(G26&gt;'Erkrankungs- und Strukturdaten'!$C$14,VLOOKUP(Prognoseergebnis!G26-ROUNDDOWN('Erkrankungs- und Strukturdaten'!$C$14,0),$A:$D,$D$6,FALSE)*'Erkrankungs- und Strukturdaten'!$C$8,0)
+IF(G26&gt;'Erkrankungs- und Strukturdaten'!$C$15,VLOOKUP(Prognoseergebnis!G26-ROUNDDOWN('Erkrankungs- und Strukturdaten'!$C$15,0),A:D,$D$6,FALSE)*'Erkrankungs- und Strukturdaten'!$C$9,0)
-IF(G26&gt;'Erkrankungs- und Strukturdaten'!$C$15+'Erkrankungs- und Strukturdaten'!$C$16,VLOOKUP(Prognoseergebnis!G26-ROUNDDOWN('Erkrankungs- und Strukturdaten'!$C$15-'Erkrankungs- und Strukturdaten'!$C$16,0),A:D,$D$6,FALSE)*'Erkrankungs- und Strukturdaten'!$C$9,0),0)</f>
        <v>8757</v>
      </c>
      <c r="I26" s="5">
        <f>ROUND('Erkrankungs- und Strukturdaten'!$C$9*D26-IF(G26&gt;'Erkrankungs- und Strukturdaten'!$C$15,VLOOKUP(Prognoseergebnis!G26-'Erkrankungs- und Strukturdaten'!$C$15,$A:$D,$D$6,FALSE)*'Erkrankungs- und Strukturdaten'!$C$9,0),0)</f>
        <v>330</v>
      </c>
      <c r="J26" s="5">
        <f>I26*'Erkrankungs- und Strukturdaten'!$C$10/'Erkrankungs- und Strukturdaten'!$C$9</f>
        <v>161.69999999999999</v>
      </c>
      <c r="K26" s="5">
        <f>I26*'Erkrankungs- und Strukturdaten'!$C$21</f>
        <v>6600</v>
      </c>
      <c r="L26" s="11"/>
      <c r="N26" s="9"/>
      <c r="O26" s="5">
        <f>IF(AND(((H26/'Erkrankungs- und Strukturdaten'!$C$25)*'Erkrankungs- und Strukturdaten'!$E$27)+(H26/'Erkrankungs- und Strukturdaten'!$C$26)&lt;1,((H26/'Erkrankungs- und Strukturdaten'!$C$25)*'Erkrankungs- und Strukturdaten'!$E$27)+(H26/'Erkrankungs- und Strukturdaten'!$C$26)&gt;0),1,((H26/'Erkrankungs- und Strukturdaten'!$C$25)*'Erkrankungs- und Strukturdaten'!$E$27)+(H26/'Erkrankungs- und Strukturdaten'!$C$26))</f>
        <v>3794.7</v>
      </c>
      <c r="P26" s="5">
        <f>ROUNDUP(((I26/'Erkrankungs- und Strukturdaten'!$C$28)*'Erkrankungs- und Strukturdaten'!$E$30)+(I26/'Erkrankungs- und Strukturdaten'!$C$29),0)</f>
        <v>359</v>
      </c>
      <c r="Q26" s="5">
        <f>ROUNDUP((H26/'Erkrankungs- und Strukturdaten'!$C$34*'Erkrankungs- und Strukturdaten'!$E$36)+(H26/'Erkrankungs- und Strukturdaten'!$C$35),0)</f>
        <v>609</v>
      </c>
      <c r="R26" s="5">
        <f>ROUNDUP((I26*'Erkrankungs- und Strukturdaten'!$C$40/'Erkrankungs- und Strukturdaten'!$C$38*'Erkrankungs- und Strukturdaten'!$E$39)+(I26*(1-'Erkrankungs- und Strukturdaten'!$C$40)/'Erkrankungs- und Strukturdaten'!$C$37*'Erkrankungs- und Strukturdaten'!$E$39),0)</f>
        <v>46</v>
      </c>
      <c r="S26" s="19"/>
      <c r="T26" s="51"/>
      <c r="U26" s="42"/>
      <c r="V26" s="42"/>
    </row>
    <row r="27" spans="1:22" ht="14.85" hidden="1" customHeight="1" x14ac:dyDescent="0.2">
      <c r="A27" s="42">
        <v>18</v>
      </c>
      <c r="B27" s="375"/>
      <c r="C27" s="28">
        <f t="shared" si="0"/>
        <v>44304</v>
      </c>
      <c r="D27" s="6">
        <f>SUMIF('Fallzahlen (Berechnung)'!D:D,"&lt;="&amp;Prognoseergebnis!C27,'Fallzahlen (Berechnung)'!E:E)-'Fallzahlen (Berechnung)'!$E$1</f>
        <v>634914</v>
      </c>
      <c r="E27" s="114">
        <f>VLOOKUP(C27,'Fallzahlen (Berechnung)'!$D:$E,'Fallzahlen (Berechnung)'!$E$1,FALSE)</f>
        <v>1047</v>
      </c>
      <c r="F27" s="26"/>
      <c r="G27" s="18">
        <v>18</v>
      </c>
      <c r="H27" s="6">
        <f>ROUND('Erkrankungs- und Strukturdaten'!$C$8*D27-IF(G27&gt;'Erkrankungs- und Strukturdaten'!$C$14,VLOOKUP(Prognoseergebnis!G27-ROUNDDOWN('Erkrankungs- und Strukturdaten'!$C$14,0),$A:$D,$D$6,FALSE)*'Erkrankungs- und Strukturdaten'!$C$8,0)
+IF(G27&gt;'Erkrankungs- und Strukturdaten'!$C$15,VLOOKUP(Prognoseergebnis!G27-ROUNDDOWN('Erkrankungs- und Strukturdaten'!$C$15,0),A:D,$D$6,FALSE)*'Erkrankungs- und Strukturdaten'!$C$9,0)
-IF(G27&gt;'Erkrankungs- und Strukturdaten'!$C$15+'Erkrankungs- und Strukturdaten'!$C$16,VLOOKUP(Prognoseergebnis!G27-ROUNDDOWN('Erkrankungs- und Strukturdaten'!$C$15-'Erkrankungs- und Strukturdaten'!$C$16,0),A:D,$D$6,FALSE)*'Erkrankungs- und Strukturdaten'!$C$9,0),0)</f>
        <v>8754</v>
      </c>
      <c r="I27" s="6">
        <f>ROUND('Erkrankungs- und Strukturdaten'!$C$9*D27-IF(G27&gt;'Erkrankungs- und Strukturdaten'!$C$15,VLOOKUP(Prognoseergebnis!G27-'Erkrankungs- und Strukturdaten'!$C$15,$A:$D,$D$6,FALSE)*'Erkrankungs- und Strukturdaten'!$C$9,0),0)</f>
        <v>327</v>
      </c>
      <c r="J27" s="6">
        <f>I27*'Erkrankungs- und Strukturdaten'!$C$10/'Erkrankungs- und Strukturdaten'!$C$9</f>
        <v>160.22999999999999</v>
      </c>
      <c r="K27" s="6">
        <f>I27*'Erkrankungs- und Strukturdaten'!$C$21</f>
        <v>6540</v>
      </c>
      <c r="L27" s="11"/>
      <c r="N27" s="9"/>
      <c r="O27" s="6">
        <f>IF(AND(((H27/'Erkrankungs- und Strukturdaten'!$C$25)*'Erkrankungs- und Strukturdaten'!$E$27)+(H27/'Erkrankungs- und Strukturdaten'!$C$26)&lt;1,((H27/'Erkrankungs- und Strukturdaten'!$C$25)*'Erkrankungs- und Strukturdaten'!$E$27)+(H27/'Erkrankungs- und Strukturdaten'!$C$26)&gt;0),1,((H27/'Erkrankungs- und Strukturdaten'!$C$25)*'Erkrankungs- und Strukturdaten'!$E$27)+(H27/'Erkrankungs- und Strukturdaten'!$C$26))</f>
        <v>3793.4</v>
      </c>
      <c r="P27" s="6">
        <f>ROUNDUP(((I27/'Erkrankungs- und Strukturdaten'!$C$28)*'Erkrankungs- und Strukturdaten'!$E$30)+(I27/'Erkrankungs- und Strukturdaten'!$C$29),0)</f>
        <v>356</v>
      </c>
      <c r="Q27" s="6">
        <f>ROUNDUP((H27/'Erkrankungs- und Strukturdaten'!$C$34*'Erkrankungs- und Strukturdaten'!$E$36)+(H27/'Erkrankungs- und Strukturdaten'!$C$35),0)</f>
        <v>608</v>
      </c>
      <c r="R27" s="6">
        <f>ROUNDUP((I27*'Erkrankungs- und Strukturdaten'!$C$40/'Erkrankungs- und Strukturdaten'!$C$38*'Erkrankungs- und Strukturdaten'!$E$39)+(I27*(1-'Erkrankungs- und Strukturdaten'!$C$40)/'Erkrankungs- und Strukturdaten'!$C$37*'Erkrankungs- und Strukturdaten'!$E$39),0)</f>
        <v>45</v>
      </c>
      <c r="S27" s="19"/>
      <c r="T27" s="51"/>
      <c r="U27" s="42"/>
      <c r="V27" s="42"/>
    </row>
    <row r="28" spans="1:22" ht="14.85" hidden="1" customHeight="1" x14ac:dyDescent="0.2">
      <c r="A28" s="42">
        <v>19</v>
      </c>
      <c r="B28" s="375"/>
      <c r="C28" s="28">
        <f t="shared" si="0"/>
        <v>44305</v>
      </c>
      <c r="D28" s="5">
        <f>SUMIF('Fallzahlen (Berechnung)'!D:D,"&lt;="&amp;Prognoseergebnis!C28,'Fallzahlen (Berechnung)'!E:E)-'Fallzahlen (Berechnung)'!$E$1</f>
        <v>637658</v>
      </c>
      <c r="E28" s="115">
        <f>VLOOKUP(C28,'Fallzahlen (Berechnung)'!$D:$E,'Fallzahlen (Berechnung)'!$E$1,FALSE)</f>
        <v>2744</v>
      </c>
      <c r="F28" s="26"/>
      <c r="G28" s="18">
        <v>19</v>
      </c>
      <c r="H28" s="5">
        <f>ROUND('Erkrankungs- und Strukturdaten'!$C$8*D28-IF(G28&gt;'Erkrankungs- und Strukturdaten'!$C$14,VLOOKUP(Prognoseergebnis!G28-ROUNDDOWN('Erkrankungs- und Strukturdaten'!$C$14,0),$A:$D,$D$6,FALSE)*'Erkrankungs- und Strukturdaten'!$C$8,0)
+IF(G28&gt;'Erkrankungs- und Strukturdaten'!$C$15,VLOOKUP(Prognoseergebnis!G28-ROUNDDOWN('Erkrankungs- und Strukturdaten'!$C$15,0),A:D,$D$6,FALSE)*'Erkrankungs- und Strukturdaten'!$C$9,0)
-IF(G28&gt;'Erkrankungs- und Strukturdaten'!$C$15+'Erkrankungs- und Strukturdaten'!$C$16,VLOOKUP(Prognoseergebnis!G28-ROUNDDOWN('Erkrankungs- und Strukturdaten'!$C$15-'Erkrankungs- und Strukturdaten'!$C$16,0),A:D,$D$6,FALSE)*'Erkrankungs- und Strukturdaten'!$C$9,0),0)</f>
        <v>8765</v>
      </c>
      <c r="I28" s="5">
        <f>ROUND('Erkrankungs- und Strukturdaten'!$C$9*D28-IF(G28&gt;'Erkrankungs- und Strukturdaten'!$C$15,VLOOKUP(Prognoseergebnis!G28-'Erkrankungs- und Strukturdaten'!$C$15,$A:$D,$D$6,FALSE)*'Erkrankungs- und Strukturdaten'!$C$9,0),0)</f>
        <v>347</v>
      </c>
      <c r="J28" s="5">
        <f>I28*'Erkrankungs- und Strukturdaten'!$C$10/'Erkrankungs- und Strukturdaten'!$C$9</f>
        <v>170.03</v>
      </c>
      <c r="K28" s="5">
        <f>I28*'Erkrankungs- und Strukturdaten'!$C$21</f>
        <v>6940</v>
      </c>
      <c r="L28" s="11"/>
      <c r="N28" s="9"/>
      <c r="O28" s="5">
        <f>IF(AND(((H28/'Erkrankungs- und Strukturdaten'!$C$25)*'Erkrankungs- und Strukturdaten'!$E$27)+(H28/'Erkrankungs- und Strukturdaten'!$C$26)&lt;1,((H28/'Erkrankungs- und Strukturdaten'!$C$25)*'Erkrankungs- und Strukturdaten'!$E$27)+(H28/'Erkrankungs- und Strukturdaten'!$C$26)&gt;0),1,((H28/'Erkrankungs- und Strukturdaten'!$C$25)*'Erkrankungs- und Strukturdaten'!$E$27)+(H28/'Erkrankungs- und Strukturdaten'!$C$26))</f>
        <v>3798.1666666666665</v>
      </c>
      <c r="P28" s="5">
        <f>ROUNDUP(((I28/'Erkrankungs- und Strukturdaten'!$C$28)*'Erkrankungs- und Strukturdaten'!$E$30)+(I28/'Erkrankungs- und Strukturdaten'!$C$29),0)</f>
        <v>377</v>
      </c>
      <c r="Q28" s="5">
        <f>ROUNDUP((H28/'Erkrankungs- und Strukturdaten'!$C$34*'Erkrankungs- und Strukturdaten'!$E$36)+(H28/'Erkrankungs- und Strukturdaten'!$C$35),0)</f>
        <v>609</v>
      </c>
      <c r="R28" s="5">
        <f>ROUNDUP((I28*'Erkrankungs- und Strukturdaten'!$C$40/'Erkrankungs- und Strukturdaten'!$C$38*'Erkrankungs- und Strukturdaten'!$E$39)+(I28*(1-'Erkrankungs- und Strukturdaten'!$C$40)/'Erkrankungs- und Strukturdaten'!$C$37*'Erkrankungs- und Strukturdaten'!$E$39),0)</f>
        <v>48</v>
      </c>
      <c r="S28" s="19"/>
      <c r="T28" s="51"/>
      <c r="U28" s="42"/>
      <c r="V28" s="42"/>
    </row>
    <row r="29" spans="1:22" ht="14.85" hidden="1" customHeight="1" x14ac:dyDescent="0.2">
      <c r="A29" s="42">
        <v>20</v>
      </c>
      <c r="B29" s="375"/>
      <c r="C29" s="28">
        <f t="shared" si="0"/>
        <v>44306</v>
      </c>
      <c r="D29" s="6">
        <f>SUMIF('Fallzahlen (Berechnung)'!D:D,"&lt;="&amp;Prognoseergebnis!C29,'Fallzahlen (Berechnung)'!E:E)-'Fallzahlen (Berechnung)'!$E$1</f>
        <v>640046</v>
      </c>
      <c r="E29" s="114">
        <f>VLOOKUP(C29,'Fallzahlen (Berechnung)'!$D:$E,'Fallzahlen (Berechnung)'!$E$1,FALSE)</f>
        <v>2388</v>
      </c>
      <c r="F29" s="26"/>
      <c r="G29" s="18">
        <v>20</v>
      </c>
      <c r="H29" s="6">
        <f>ROUND('Erkrankungs- und Strukturdaten'!$C$8*D29-IF(G29&gt;'Erkrankungs- und Strukturdaten'!$C$14,VLOOKUP(Prognoseergebnis!G29-ROUNDDOWN('Erkrankungs- und Strukturdaten'!$C$14,0),$A:$D,$D$6,FALSE)*'Erkrankungs- und Strukturdaten'!$C$8,0)
+IF(G29&gt;'Erkrankungs- und Strukturdaten'!$C$15,VLOOKUP(Prognoseergebnis!G29-ROUNDDOWN('Erkrankungs- und Strukturdaten'!$C$15,0),A:D,$D$6,FALSE)*'Erkrankungs- und Strukturdaten'!$C$9,0)
-IF(G29&gt;'Erkrankungs- und Strukturdaten'!$C$15+'Erkrankungs- und Strukturdaten'!$C$16,VLOOKUP(Prognoseergebnis!G29-ROUNDDOWN('Erkrankungs- und Strukturdaten'!$C$15-'Erkrankungs- und Strukturdaten'!$C$16,0),A:D,$D$6,FALSE)*'Erkrankungs- und Strukturdaten'!$C$9,0),0)</f>
        <v>8781</v>
      </c>
      <c r="I29" s="6">
        <f>ROUND('Erkrankungs- und Strukturdaten'!$C$9*D29-IF(G29&gt;'Erkrankungs- und Strukturdaten'!$C$15,VLOOKUP(Prognoseergebnis!G29-'Erkrankungs- und Strukturdaten'!$C$15,$A:$D,$D$6,FALSE)*'Erkrankungs- und Strukturdaten'!$C$9,0),0)</f>
        <v>359</v>
      </c>
      <c r="J29" s="6">
        <f>I29*'Erkrankungs- und Strukturdaten'!$C$10/'Erkrankungs- und Strukturdaten'!$C$9</f>
        <v>175.91</v>
      </c>
      <c r="K29" s="6">
        <f>I29*'Erkrankungs- und Strukturdaten'!$C$21</f>
        <v>7180</v>
      </c>
      <c r="L29" s="11"/>
      <c r="N29" s="9"/>
      <c r="O29" s="6">
        <f>IF(AND(((H29/'Erkrankungs- und Strukturdaten'!$C$25)*'Erkrankungs- und Strukturdaten'!$E$27)+(H29/'Erkrankungs- und Strukturdaten'!$C$26)&lt;1,((H29/'Erkrankungs- und Strukturdaten'!$C$25)*'Erkrankungs- und Strukturdaten'!$E$27)+(H29/'Erkrankungs- und Strukturdaten'!$C$26)&gt;0),1,((H29/'Erkrankungs- und Strukturdaten'!$C$25)*'Erkrankungs- und Strukturdaten'!$E$27)+(H29/'Erkrankungs- und Strukturdaten'!$C$26))</f>
        <v>3805.1</v>
      </c>
      <c r="P29" s="6">
        <f>ROUNDUP(((I29/'Erkrankungs- und Strukturdaten'!$C$28)*'Erkrankungs- und Strukturdaten'!$E$30)+(I29/'Erkrankungs- und Strukturdaten'!$C$29),0)</f>
        <v>390</v>
      </c>
      <c r="Q29" s="6">
        <f>ROUNDUP((H29/'Erkrankungs- und Strukturdaten'!$C$34*'Erkrankungs- und Strukturdaten'!$E$36)+(H29/'Erkrankungs- und Strukturdaten'!$C$35),0)</f>
        <v>610</v>
      </c>
      <c r="R29" s="6">
        <f>ROUNDUP((I29*'Erkrankungs- und Strukturdaten'!$C$40/'Erkrankungs- und Strukturdaten'!$C$38*'Erkrankungs- und Strukturdaten'!$E$39)+(I29*(1-'Erkrankungs- und Strukturdaten'!$C$40)/'Erkrankungs- und Strukturdaten'!$C$37*'Erkrankungs- und Strukturdaten'!$E$39),0)</f>
        <v>50</v>
      </c>
      <c r="S29" s="19"/>
      <c r="T29" s="51"/>
      <c r="U29" s="42"/>
      <c r="V29" s="42"/>
    </row>
    <row r="30" spans="1:22" ht="14.85" hidden="1" customHeight="1" x14ac:dyDescent="0.2">
      <c r="A30" s="42">
        <v>21</v>
      </c>
      <c r="B30" s="375"/>
      <c r="C30" s="28">
        <f t="shared" si="0"/>
        <v>44307</v>
      </c>
      <c r="D30" s="5">
        <f>SUMIF('Fallzahlen (Berechnung)'!D:D,"&lt;="&amp;Prognoseergebnis!C30,'Fallzahlen (Berechnung)'!E:E)-'Fallzahlen (Berechnung)'!$E$1</f>
        <v>642354</v>
      </c>
      <c r="E30" s="117">
        <f>VLOOKUP(C30,'Fallzahlen (Berechnung)'!$D:$E,'Fallzahlen (Berechnung)'!$E$1,FALSE)</f>
        <v>2308</v>
      </c>
      <c r="F30" s="26"/>
      <c r="G30" s="18">
        <v>21</v>
      </c>
      <c r="H30" s="5">
        <f>ROUND('Erkrankungs- und Strukturdaten'!$C$8*D30-IF(G30&gt;'Erkrankungs- und Strukturdaten'!$C$14,VLOOKUP(Prognoseergebnis!G30-ROUNDDOWN('Erkrankungs- und Strukturdaten'!$C$14,0),$A:$D,$D$6,FALSE)*'Erkrankungs- und Strukturdaten'!$C$8,0)
+IF(G30&gt;'Erkrankungs- und Strukturdaten'!$C$15,VLOOKUP(Prognoseergebnis!G30-ROUNDDOWN('Erkrankungs- und Strukturdaten'!$C$15,0),A:D,$D$6,FALSE)*'Erkrankungs- und Strukturdaten'!$C$9,0)
-IF(G30&gt;'Erkrankungs- und Strukturdaten'!$C$15+'Erkrankungs- und Strukturdaten'!$C$16,VLOOKUP(Prognoseergebnis!G30-ROUNDDOWN('Erkrankungs- und Strukturdaten'!$C$15-'Erkrankungs- und Strukturdaten'!$C$16,0),A:D,$D$6,FALSE)*'Erkrankungs- und Strukturdaten'!$C$9,0),0)</f>
        <v>8825</v>
      </c>
      <c r="I30" s="5">
        <f>ROUND('Erkrankungs- und Strukturdaten'!$C$9*D30-IF(G30&gt;'Erkrankungs- und Strukturdaten'!$C$15,VLOOKUP(Prognoseergebnis!G30-'Erkrankungs- und Strukturdaten'!$C$15,$A:$D,$D$6,FALSE)*'Erkrankungs- und Strukturdaten'!$C$9,0),0)</f>
        <v>355</v>
      </c>
      <c r="J30" s="5">
        <f>I30*'Erkrankungs- und Strukturdaten'!$C$10/'Erkrankungs- und Strukturdaten'!$C$9</f>
        <v>173.95</v>
      </c>
      <c r="K30" s="5">
        <f>I30*'Erkrankungs- und Strukturdaten'!$C$21</f>
        <v>7100</v>
      </c>
      <c r="L30" s="11"/>
      <c r="N30" s="9"/>
      <c r="O30" s="5">
        <f>IF(AND(((H30/'Erkrankungs- und Strukturdaten'!$C$25)*'Erkrankungs- und Strukturdaten'!$E$27)+(H30/'Erkrankungs- und Strukturdaten'!$C$26)&lt;1,((H30/'Erkrankungs- und Strukturdaten'!$C$25)*'Erkrankungs- und Strukturdaten'!$E$27)+(H30/'Erkrankungs- und Strukturdaten'!$C$26)&gt;0),1,((H30/'Erkrankungs- und Strukturdaten'!$C$25)*'Erkrankungs- und Strukturdaten'!$E$27)+(H30/'Erkrankungs- und Strukturdaten'!$C$26))</f>
        <v>3824.1666666666665</v>
      </c>
      <c r="P30" s="5">
        <f>ROUNDUP(((I30/'Erkrankungs- und Strukturdaten'!$C$28)*'Erkrankungs- und Strukturdaten'!$E$30)+(I30/'Erkrankungs- und Strukturdaten'!$C$29),0)</f>
        <v>386</v>
      </c>
      <c r="Q30" s="5">
        <f>ROUNDUP((H30/'Erkrankungs- und Strukturdaten'!$C$34*'Erkrankungs- und Strukturdaten'!$E$36)+(H30/'Erkrankungs- und Strukturdaten'!$C$35),0)</f>
        <v>613</v>
      </c>
      <c r="R30" s="5">
        <f>ROUNDUP((I30*'Erkrankungs- und Strukturdaten'!$C$40/'Erkrankungs- und Strukturdaten'!$C$38*'Erkrankungs- und Strukturdaten'!$E$39)+(I30*(1-'Erkrankungs- und Strukturdaten'!$C$40)/'Erkrankungs- und Strukturdaten'!$C$37*'Erkrankungs- und Strukturdaten'!$E$39),0)</f>
        <v>49</v>
      </c>
      <c r="S30" s="19"/>
      <c r="T30" s="51"/>
      <c r="U30" s="42"/>
      <c r="V30" s="42"/>
    </row>
    <row r="31" spans="1:22" ht="14.85" hidden="1" customHeight="1" x14ac:dyDescent="0.2">
      <c r="A31" s="42">
        <v>22</v>
      </c>
      <c r="B31" s="379" t="s">
        <v>243</v>
      </c>
      <c r="C31" s="28">
        <f t="shared" si="0"/>
        <v>44308</v>
      </c>
      <c r="D31" s="6">
        <f>SUMIF('Fallzahlen (Berechnung)'!D:D,"&lt;="&amp;Prognoseergebnis!C31,'Fallzahlen (Berechnung)'!E:E)-'Fallzahlen (Berechnung)'!$E$1</f>
        <v>644620</v>
      </c>
      <c r="E31" s="118">
        <f>VLOOKUP(C31,'Fallzahlen (Berechnung)'!$D:$E,'Fallzahlen (Berechnung)'!$E$1,FALSE)</f>
        <v>2266</v>
      </c>
      <c r="F31" s="26"/>
      <c r="G31" s="18">
        <v>22</v>
      </c>
      <c r="H31" s="6">
        <f>ROUND('Erkrankungs- und Strukturdaten'!$C$8*D31-IF(G31&gt;'Erkrankungs- und Strukturdaten'!$C$14,VLOOKUP(Prognoseergebnis!G31-ROUNDDOWN('Erkrankungs- und Strukturdaten'!$C$14,0),$A:$D,$D$6,FALSE)*'Erkrankungs- und Strukturdaten'!$C$8,0)
+IF(G31&gt;'Erkrankungs- und Strukturdaten'!$C$15,VLOOKUP(Prognoseergebnis!G31-ROUNDDOWN('Erkrankungs- und Strukturdaten'!$C$15,0),A:D,$D$6,FALSE)*'Erkrankungs- und Strukturdaten'!$C$9,0)
-IF(G31&gt;'Erkrankungs- und Strukturdaten'!$C$15+'Erkrankungs- und Strukturdaten'!$C$16,VLOOKUP(Prognoseergebnis!G31-ROUNDDOWN('Erkrankungs- und Strukturdaten'!$C$15-'Erkrankungs- und Strukturdaten'!$C$16,0),A:D,$D$6,FALSE)*'Erkrankungs- und Strukturdaten'!$C$9,0),0)</f>
        <v>1858</v>
      </c>
      <c r="I31" s="6">
        <f>ROUND('Erkrankungs- und Strukturdaten'!$C$9*D31-IF(G31&gt;'Erkrankungs- und Strukturdaten'!$C$15,VLOOKUP(Prognoseergebnis!G31-'Erkrankungs- und Strukturdaten'!$C$15,$A:$D,$D$6,FALSE)*'Erkrankungs- und Strukturdaten'!$C$9,0),0)</f>
        <v>353</v>
      </c>
      <c r="J31" s="6">
        <f>I31*'Erkrankungs- und Strukturdaten'!$C$10/'Erkrankungs- und Strukturdaten'!$C$9</f>
        <v>172.97</v>
      </c>
      <c r="K31" s="6">
        <f>I31*'Erkrankungs- und Strukturdaten'!$C$21</f>
        <v>7060</v>
      </c>
      <c r="L31" s="11"/>
      <c r="N31" s="9"/>
      <c r="O31" s="6">
        <f>IF(AND(((H31/'Erkrankungs- und Strukturdaten'!$C$25)*'Erkrankungs- und Strukturdaten'!$E$27)+(H31/'Erkrankungs- und Strukturdaten'!$C$26)&lt;1,((H31/'Erkrankungs- und Strukturdaten'!$C$25)*'Erkrankungs- und Strukturdaten'!$E$27)+(H31/'Erkrankungs- und Strukturdaten'!$C$26)&gt;0),1,((H31/'Erkrankungs- und Strukturdaten'!$C$25)*'Erkrankungs- und Strukturdaten'!$E$27)+(H31/'Erkrankungs- und Strukturdaten'!$C$26))</f>
        <v>805.13333333333344</v>
      </c>
      <c r="P31" s="6">
        <f>ROUNDUP(((I31/'Erkrankungs- und Strukturdaten'!$C$28)*'Erkrankungs- und Strukturdaten'!$E$30)+(I31/'Erkrankungs- und Strukturdaten'!$C$29),0)</f>
        <v>384</v>
      </c>
      <c r="Q31" s="6">
        <f>ROUNDUP((H31/'Erkrankungs- und Strukturdaten'!$C$34*'Erkrankungs- und Strukturdaten'!$E$36)+(H31/'Erkrankungs- und Strukturdaten'!$C$35),0)</f>
        <v>130</v>
      </c>
      <c r="R31" s="6">
        <f>ROUNDUP((I31*'Erkrankungs- und Strukturdaten'!$C$40/'Erkrankungs- und Strukturdaten'!$C$38*'Erkrankungs- und Strukturdaten'!$E$39)+(I31*(1-'Erkrankungs- und Strukturdaten'!$C$40)/'Erkrankungs- und Strukturdaten'!$C$37*'Erkrankungs- und Strukturdaten'!$E$39),0)</f>
        <v>49</v>
      </c>
      <c r="S31" s="19"/>
      <c r="T31" s="51"/>
      <c r="U31" s="42"/>
      <c r="V31" s="42"/>
    </row>
    <row r="32" spans="1:22" ht="14.85" hidden="1" customHeight="1" x14ac:dyDescent="0.2">
      <c r="A32" s="42">
        <v>23</v>
      </c>
      <c r="B32" s="373"/>
      <c r="C32" s="28">
        <f t="shared" si="0"/>
        <v>44309</v>
      </c>
      <c r="D32" s="5">
        <f>SUMIF('Fallzahlen (Berechnung)'!D:D,"&lt;="&amp;Prognoseergebnis!C32,'Fallzahlen (Berechnung)'!E:E)-'Fallzahlen (Berechnung)'!$E$1</f>
        <v>646786</v>
      </c>
      <c r="E32" s="115">
        <f>VLOOKUP(C32,'Fallzahlen (Berechnung)'!$D:$E,'Fallzahlen (Berechnung)'!$E$1,FALSE)</f>
        <v>2166</v>
      </c>
      <c r="F32" s="26"/>
      <c r="G32" s="18">
        <v>23</v>
      </c>
      <c r="H32" s="5">
        <f>ROUND('Erkrankungs- und Strukturdaten'!$C$8*D32-IF(G32&gt;'Erkrankungs- und Strukturdaten'!$C$14,VLOOKUP(Prognoseergebnis!G32-ROUNDDOWN('Erkrankungs- und Strukturdaten'!$C$14,0),$A:$D,$D$6,FALSE)*'Erkrankungs- und Strukturdaten'!$C$8,0)
+IF(G32&gt;'Erkrankungs- und Strukturdaten'!$C$15,VLOOKUP(Prognoseergebnis!G32-ROUNDDOWN('Erkrankungs- und Strukturdaten'!$C$15,0),A:D,$D$6,FALSE)*'Erkrankungs- und Strukturdaten'!$C$9,0)
-IF(G32&gt;'Erkrankungs- und Strukturdaten'!$C$15+'Erkrankungs- und Strukturdaten'!$C$16,VLOOKUP(Prognoseergebnis!G32-ROUNDDOWN('Erkrankungs- und Strukturdaten'!$C$15-'Erkrankungs- und Strukturdaten'!$C$16,0),A:D,$D$6,FALSE)*'Erkrankungs- und Strukturdaten'!$C$9,0),0)</f>
        <v>1868</v>
      </c>
      <c r="I32" s="5">
        <f>ROUND('Erkrankungs- und Strukturdaten'!$C$9*D32-IF(G32&gt;'Erkrankungs- und Strukturdaten'!$C$15,VLOOKUP(Prognoseergebnis!G32-'Erkrankungs- und Strukturdaten'!$C$15,$A:$D,$D$6,FALSE)*'Erkrankungs- und Strukturdaten'!$C$9,0),0)</f>
        <v>350</v>
      </c>
      <c r="J32" s="5">
        <f>I32*'Erkrankungs- und Strukturdaten'!$C$10/'Erkrankungs- und Strukturdaten'!$C$9</f>
        <v>171.5</v>
      </c>
      <c r="K32" s="5">
        <f>I32*'Erkrankungs- und Strukturdaten'!$C$21</f>
        <v>7000</v>
      </c>
      <c r="L32" s="11"/>
      <c r="N32" s="9"/>
      <c r="O32" s="5">
        <f>IF(AND(((H32/'Erkrankungs- und Strukturdaten'!$C$25)*'Erkrankungs- und Strukturdaten'!$E$27)+(H32/'Erkrankungs- und Strukturdaten'!$C$26)&lt;1,((H32/'Erkrankungs- und Strukturdaten'!$C$25)*'Erkrankungs- und Strukturdaten'!$E$27)+(H32/'Erkrankungs- und Strukturdaten'!$C$26)&gt;0),1,((H32/'Erkrankungs- und Strukturdaten'!$C$25)*'Erkrankungs- und Strukturdaten'!$E$27)+(H32/'Erkrankungs- und Strukturdaten'!$C$26))</f>
        <v>809.4666666666667</v>
      </c>
      <c r="P32" s="5">
        <f>ROUNDUP(((I32/'Erkrankungs- und Strukturdaten'!$C$28)*'Erkrankungs- und Strukturdaten'!$E$30)+(I32/'Erkrankungs- und Strukturdaten'!$C$29),0)</f>
        <v>380</v>
      </c>
      <c r="Q32" s="5">
        <f>ROUNDUP((H32/'Erkrankungs- und Strukturdaten'!$C$34*'Erkrankungs- und Strukturdaten'!$E$36)+(H32/'Erkrankungs- und Strukturdaten'!$C$35),0)</f>
        <v>130</v>
      </c>
      <c r="R32" s="5">
        <f>ROUNDUP((I32*'Erkrankungs- und Strukturdaten'!$C$40/'Erkrankungs- und Strukturdaten'!$C$38*'Erkrankungs- und Strukturdaten'!$E$39)+(I32*(1-'Erkrankungs- und Strukturdaten'!$C$40)/'Erkrankungs- und Strukturdaten'!$C$37*'Erkrankungs- und Strukturdaten'!$E$39),0)</f>
        <v>48</v>
      </c>
      <c r="S32" s="19"/>
      <c r="T32" s="51"/>
      <c r="U32" s="42"/>
      <c r="V32" s="42"/>
    </row>
    <row r="33" spans="1:22" ht="14.85" hidden="1" customHeight="1" x14ac:dyDescent="0.2">
      <c r="A33" s="42">
        <v>24</v>
      </c>
      <c r="B33" s="373"/>
      <c r="C33" s="28">
        <f t="shared" si="0"/>
        <v>44310</v>
      </c>
      <c r="D33" s="6">
        <f>SUMIF('Fallzahlen (Berechnung)'!D:D,"&lt;="&amp;Prognoseergebnis!C33,'Fallzahlen (Berechnung)'!E:E)-'Fallzahlen (Berechnung)'!$E$1</f>
        <v>648239</v>
      </c>
      <c r="E33" s="114">
        <f>VLOOKUP(C33,'Fallzahlen (Berechnung)'!$D:$E,'Fallzahlen (Berechnung)'!$E$1,FALSE)</f>
        <v>1453</v>
      </c>
      <c r="F33" s="26"/>
      <c r="G33" s="18">
        <v>24</v>
      </c>
      <c r="H33" s="6">
        <f>ROUND('Erkrankungs- und Strukturdaten'!$C$8*D33-IF(G33&gt;'Erkrankungs- und Strukturdaten'!$C$14,VLOOKUP(Prognoseergebnis!G33-ROUNDDOWN('Erkrankungs- und Strukturdaten'!$C$14,0),$A:$D,$D$6,FALSE)*'Erkrankungs- und Strukturdaten'!$C$8,0)
+IF(G33&gt;'Erkrankungs- und Strukturdaten'!$C$15,VLOOKUP(Prognoseergebnis!G33-ROUNDDOWN('Erkrankungs- und Strukturdaten'!$C$15,0),A:D,$D$6,FALSE)*'Erkrankungs- und Strukturdaten'!$C$9,0)
-IF(G33&gt;'Erkrankungs- und Strukturdaten'!$C$15+'Erkrankungs- und Strukturdaten'!$C$16,VLOOKUP(Prognoseergebnis!G33-ROUNDDOWN('Erkrankungs- und Strukturdaten'!$C$15-'Erkrankungs- und Strukturdaten'!$C$16,0),A:D,$D$6,FALSE)*'Erkrankungs- und Strukturdaten'!$C$9,0),0)</f>
        <v>1874</v>
      </c>
      <c r="I33" s="6">
        <f>ROUND('Erkrankungs- und Strukturdaten'!$C$9*D33-IF(G33&gt;'Erkrankungs- und Strukturdaten'!$C$15,VLOOKUP(Prognoseergebnis!G33-'Erkrankungs- und Strukturdaten'!$C$15,$A:$D,$D$6,FALSE)*'Erkrankungs- und Strukturdaten'!$C$9,0),0)</f>
        <v>339</v>
      </c>
      <c r="J33" s="6">
        <f>I33*'Erkrankungs- und Strukturdaten'!$C$10/'Erkrankungs- und Strukturdaten'!$C$9</f>
        <v>166.11</v>
      </c>
      <c r="K33" s="6">
        <f>I33*'Erkrankungs- und Strukturdaten'!$C$21</f>
        <v>6780</v>
      </c>
      <c r="L33" s="11"/>
      <c r="N33" s="9"/>
      <c r="O33" s="6">
        <f>IF(AND(((H33/'Erkrankungs- und Strukturdaten'!$C$25)*'Erkrankungs- und Strukturdaten'!$E$27)+(H33/'Erkrankungs- und Strukturdaten'!$C$26)&lt;1,((H33/'Erkrankungs- und Strukturdaten'!$C$25)*'Erkrankungs- und Strukturdaten'!$E$27)+(H33/'Erkrankungs- und Strukturdaten'!$C$26)&gt;0),1,((H33/'Erkrankungs- und Strukturdaten'!$C$25)*'Erkrankungs- und Strukturdaten'!$E$27)+(H33/'Erkrankungs- und Strukturdaten'!$C$26))</f>
        <v>812.06666666666661</v>
      </c>
      <c r="P33" s="6">
        <f>ROUNDUP(((I33/'Erkrankungs- und Strukturdaten'!$C$28)*'Erkrankungs- und Strukturdaten'!$E$30)+(I33/'Erkrankungs- und Strukturdaten'!$C$29),0)</f>
        <v>369</v>
      </c>
      <c r="Q33" s="6">
        <f>ROUNDUP((H33/'Erkrankungs- und Strukturdaten'!$C$34*'Erkrankungs- und Strukturdaten'!$E$36)+(H33/'Erkrankungs- und Strukturdaten'!$C$35),0)</f>
        <v>131</v>
      </c>
      <c r="R33" s="6">
        <f>ROUNDUP((I33*'Erkrankungs- und Strukturdaten'!$C$40/'Erkrankungs- und Strukturdaten'!$C$38*'Erkrankungs- und Strukturdaten'!$E$39)+(I33*(1-'Erkrankungs- und Strukturdaten'!$C$40)/'Erkrankungs- und Strukturdaten'!$C$37*'Erkrankungs- und Strukturdaten'!$E$39),0)</f>
        <v>47</v>
      </c>
      <c r="S33" s="19"/>
      <c r="T33" s="51"/>
      <c r="U33" s="42"/>
      <c r="V33" s="42"/>
    </row>
    <row r="34" spans="1:22" ht="14.85" hidden="1" customHeight="1" x14ac:dyDescent="0.2">
      <c r="A34" s="42">
        <v>25</v>
      </c>
      <c r="B34" s="373"/>
      <c r="C34" s="28">
        <f t="shared" si="0"/>
        <v>44311</v>
      </c>
      <c r="D34" s="5">
        <f>SUMIF('Fallzahlen (Berechnung)'!D:D,"&lt;="&amp;Prognoseergebnis!C34,'Fallzahlen (Berechnung)'!E:E)-'Fallzahlen (Berechnung)'!$E$1</f>
        <v>649426</v>
      </c>
      <c r="E34" s="115">
        <f>VLOOKUP(C34,'Fallzahlen (Berechnung)'!$D:$E,'Fallzahlen (Berechnung)'!$E$1,FALSE)</f>
        <v>1187</v>
      </c>
      <c r="F34" s="26"/>
      <c r="G34" s="18">
        <v>25</v>
      </c>
      <c r="H34" s="5">
        <f>ROUND('Erkrankungs- und Strukturdaten'!$C$8*D34-IF(G34&gt;'Erkrankungs- und Strukturdaten'!$C$14,VLOOKUP(Prognoseergebnis!G34-ROUNDDOWN('Erkrankungs- und Strukturdaten'!$C$14,0),$A:$D,$D$6,FALSE)*'Erkrankungs- und Strukturdaten'!$C$8,0)
+IF(G34&gt;'Erkrankungs- und Strukturdaten'!$C$15,VLOOKUP(Prognoseergebnis!G34-ROUNDDOWN('Erkrankungs- und Strukturdaten'!$C$15,0),A:D,$D$6,FALSE)*'Erkrankungs- und Strukturdaten'!$C$9,0)
-IF(G34&gt;'Erkrankungs- und Strukturdaten'!$C$15+'Erkrankungs- und Strukturdaten'!$C$16,VLOOKUP(Prognoseergebnis!G34-ROUNDDOWN('Erkrankungs- und Strukturdaten'!$C$15-'Erkrankungs- und Strukturdaten'!$C$16,0),A:D,$D$6,FALSE)*'Erkrankungs- und Strukturdaten'!$C$9,0),0)</f>
        <v>1889</v>
      </c>
      <c r="I34" s="5">
        <f>ROUND('Erkrankungs- und Strukturdaten'!$C$9*D34-IF(G34&gt;'Erkrankungs- und Strukturdaten'!$C$15,VLOOKUP(Prognoseergebnis!G34-'Erkrankungs- und Strukturdaten'!$C$15,$A:$D,$D$6,FALSE)*'Erkrankungs- und Strukturdaten'!$C$9,0),0)</f>
        <v>333</v>
      </c>
      <c r="J34" s="5">
        <f>I34*'Erkrankungs- und Strukturdaten'!$C$10/'Erkrankungs- und Strukturdaten'!$C$9</f>
        <v>163.16999999999999</v>
      </c>
      <c r="K34" s="5">
        <f>I34*'Erkrankungs- und Strukturdaten'!$C$21</f>
        <v>6660</v>
      </c>
      <c r="L34" s="11"/>
      <c r="N34" s="9"/>
      <c r="O34" s="5">
        <f>IF(AND(((H34/'Erkrankungs- und Strukturdaten'!$C$25)*'Erkrankungs- und Strukturdaten'!$E$27)+(H34/'Erkrankungs- und Strukturdaten'!$C$26)&lt;1,((H34/'Erkrankungs- und Strukturdaten'!$C$25)*'Erkrankungs- und Strukturdaten'!$E$27)+(H34/'Erkrankungs- und Strukturdaten'!$C$26)&gt;0),1,((H34/'Erkrankungs- und Strukturdaten'!$C$25)*'Erkrankungs- und Strukturdaten'!$E$27)+(H34/'Erkrankungs- und Strukturdaten'!$C$26))</f>
        <v>818.56666666666661</v>
      </c>
      <c r="P34" s="5">
        <f>ROUNDUP(((I34/'Erkrankungs- und Strukturdaten'!$C$28)*'Erkrankungs- und Strukturdaten'!$E$30)+(I34/'Erkrankungs- und Strukturdaten'!$C$29),0)</f>
        <v>362</v>
      </c>
      <c r="Q34" s="5">
        <f>ROUNDUP((H34/'Erkrankungs- und Strukturdaten'!$C$34*'Erkrankungs- und Strukturdaten'!$E$36)+(H34/'Erkrankungs- und Strukturdaten'!$C$35),0)</f>
        <v>132</v>
      </c>
      <c r="R34" s="5">
        <f>ROUNDUP((I34*'Erkrankungs- und Strukturdaten'!$C$40/'Erkrankungs- und Strukturdaten'!$C$38*'Erkrankungs- und Strukturdaten'!$E$39)+(I34*(1-'Erkrankungs- und Strukturdaten'!$C$40)/'Erkrankungs- und Strukturdaten'!$C$37*'Erkrankungs- und Strukturdaten'!$E$39),0)</f>
        <v>46</v>
      </c>
      <c r="S34" s="19"/>
      <c r="T34" s="51"/>
      <c r="U34" s="42"/>
      <c r="V34" s="42"/>
    </row>
    <row r="35" spans="1:22" ht="14.85" hidden="1" customHeight="1" x14ac:dyDescent="0.2">
      <c r="A35" s="42">
        <v>26</v>
      </c>
      <c r="B35" s="373"/>
      <c r="C35" s="28">
        <f t="shared" si="0"/>
        <v>44312</v>
      </c>
      <c r="D35" s="6">
        <f>SUMIF('Fallzahlen (Berechnung)'!D:D,"&lt;="&amp;Prognoseergebnis!C35,'Fallzahlen (Berechnung)'!E:E)-'Fallzahlen (Berechnung)'!$E$1</f>
        <v>651866</v>
      </c>
      <c r="E35" s="114">
        <f>VLOOKUP(C35,'Fallzahlen (Berechnung)'!$D:$E,'Fallzahlen (Berechnung)'!$E$1,FALSE)</f>
        <v>2440</v>
      </c>
      <c r="F35" s="26"/>
      <c r="G35" s="18">
        <v>26</v>
      </c>
      <c r="H35" s="6">
        <f>ROUND('Erkrankungs- und Strukturdaten'!$C$8*D35-IF(G35&gt;'Erkrankungs- und Strukturdaten'!$C$14,VLOOKUP(Prognoseergebnis!G35-ROUNDDOWN('Erkrankungs- und Strukturdaten'!$C$14,0),$A:$D,$D$6,FALSE)*'Erkrankungs- und Strukturdaten'!$C$8,0)
+IF(G35&gt;'Erkrankungs- und Strukturdaten'!$C$15,VLOOKUP(Prognoseergebnis!G35-ROUNDDOWN('Erkrankungs- und Strukturdaten'!$C$15,0),A:D,$D$6,FALSE)*'Erkrankungs- und Strukturdaten'!$C$9,0)
-IF(G35&gt;'Erkrankungs- und Strukturdaten'!$C$15+'Erkrankungs- und Strukturdaten'!$C$16,VLOOKUP(Prognoseergebnis!G35-ROUNDDOWN('Erkrankungs- und Strukturdaten'!$C$15-'Erkrankungs- und Strukturdaten'!$C$16,0),A:D,$D$6,FALSE)*'Erkrankungs- und Strukturdaten'!$C$9,0),0)</f>
        <v>1843</v>
      </c>
      <c r="I35" s="6">
        <f>ROUND('Erkrankungs- und Strukturdaten'!$C$9*D35-IF(G35&gt;'Erkrankungs- und Strukturdaten'!$C$15,VLOOKUP(Prognoseergebnis!G35-'Erkrankungs- und Strukturdaten'!$C$15,$A:$D,$D$6,FALSE)*'Erkrankungs- und Strukturdaten'!$C$9,0),0)</f>
        <v>347</v>
      </c>
      <c r="J35" s="6">
        <f>I35*'Erkrankungs- und Strukturdaten'!$C$10/'Erkrankungs- und Strukturdaten'!$C$9</f>
        <v>170.03</v>
      </c>
      <c r="K35" s="6">
        <f>I35*'Erkrankungs- und Strukturdaten'!$C$21</f>
        <v>6940</v>
      </c>
      <c r="L35" s="11"/>
      <c r="N35" s="9"/>
      <c r="O35" s="6">
        <f>IF(AND(((H35/'Erkrankungs- und Strukturdaten'!$C$25)*'Erkrankungs- und Strukturdaten'!$E$27)+(H35/'Erkrankungs- und Strukturdaten'!$C$26)&lt;1,((H35/'Erkrankungs- und Strukturdaten'!$C$25)*'Erkrankungs- und Strukturdaten'!$E$27)+(H35/'Erkrankungs- und Strukturdaten'!$C$26)&gt;0),1,((H35/'Erkrankungs- und Strukturdaten'!$C$25)*'Erkrankungs- und Strukturdaten'!$E$27)+(H35/'Erkrankungs- und Strukturdaten'!$C$26))</f>
        <v>798.63333333333344</v>
      </c>
      <c r="P35" s="6">
        <f>ROUNDUP(((I35/'Erkrankungs- und Strukturdaten'!$C$28)*'Erkrankungs- und Strukturdaten'!$E$30)+(I35/'Erkrankungs- und Strukturdaten'!$C$29),0)</f>
        <v>377</v>
      </c>
      <c r="Q35" s="6">
        <f>ROUNDUP((H35/'Erkrankungs- und Strukturdaten'!$C$34*'Erkrankungs- und Strukturdaten'!$E$36)+(H35/'Erkrankungs- und Strukturdaten'!$C$35),0)</f>
        <v>128</v>
      </c>
      <c r="R35" s="6">
        <f>ROUNDUP((I35*'Erkrankungs- und Strukturdaten'!$C$40/'Erkrankungs- und Strukturdaten'!$C$38*'Erkrankungs- und Strukturdaten'!$E$39)+(I35*(1-'Erkrankungs- und Strukturdaten'!$C$40)/'Erkrankungs- und Strukturdaten'!$C$37*'Erkrankungs- und Strukturdaten'!$E$39),0)</f>
        <v>48</v>
      </c>
      <c r="S35" s="19"/>
      <c r="T35" s="51"/>
      <c r="U35" s="42"/>
      <c r="V35" s="42"/>
    </row>
    <row r="36" spans="1:22" ht="14.85" hidden="1" customHeight="1" x14ac:dyDescent="0.2">
      <c r="A36" s="42">
        <v>27</v>
      </c>
      <c r="B36" s="373"/>
      <c r="C36" s="28">
        <f t="shared" si="0"/>
        <v>44313</v>
      </c>
      <c r="D36" s="5">
        <f>SUMIF('Fallzahlen (Berechnung)'!D:D,"&lt;="&amp;Prognoseergebnis!C36,'Fallzahlen (Berechnung)'!E:E)-'Fallzahlen (Berechnung)'!$E$1</f>
        <v>653904</v>
      </c>
      <c r="E36" s="115">
        <f>VLOOKUP(C36,'Fallzahlen (Berechnung)'!$D:$E,'Fallzahlen (Berechnung)'!$E$1,FALSE)</f>
        <v>2038</v>
      </c>
      <c r="F36" s="26"/>
      <c r="G36" s="18">
        <v>27</v>
      </c>
      <c r="H36" s="5">
        <f>ROUND('Erkrankungs- und Strukturdaten'!$C$8*D36-IF(G36&gt;'Erkrankungs- und Strukturdaten'!$C$14,VLOOKUP(Prognoseergebnis!G36-ROUNDDOWN('Erkrankungs- und Strukturdaten'!$C$14,0),$A:$D,$D$6,FALSE)*'Erkrankungs- und Strukturdaten'!$C$8,0)
+IF(G36&gt;'Erkrankungs- und Strukturdaten'!$C$15,VLOOKUP(Prognoseergebnis!G36-ROUNDDOWN('Erkrankungs- und Strukturdaten'!$C$15,0),A:D,$D$6,FALSE)*'Erkrankungs- und Strukturdaten'!$C$9,0)
-IF(G36&gt;'Erkrankungs- und Strukturdaten'!$C$15+'Erkrankungs- und Strukturdaten'!$C$16,VLOOKUP(Prognoseergebnis!G36-ROUNDDOWN('Erkrankungs- und Strukturdaten'!$C$15-'Erkrankungs- und Strukturdaten'!$C$16,0),A:D,$D$6,FALSE)*'Erkrankungs- und Strukturdaten'!$C$9,0),0)</f>
        <v>1813</v>
      </c>
      <c r="I36" s="5">
        <f>ROUND('Erkrankungs- und Strukturdaten'!$C$9*D36-IF(G36&gt;'Erkrankungs- und Strukturdaten'!$C$15,VLOOKUP(Prognoseergebnis!G36-'Erkrankungs- und Strukturdaten'!$C$15,$A:$D,$D$6,FALSE)*'Erkrankungs- und Strukturdaten'!$C$9,0),0)</f>
        <v>340</v>
      </c>
      <c r="J36" s="5">
        <f>I36*'Erkrankungs- und Strukturdaten'!$C$10/'Erkrankungs- und Strukturdaten'!$C$9</f>
        <v>166.6</v>
      </c>
      <c r="K36" s="5">
        <f>I36*'Erkrankungs- und Strukturdaten'!$C$21</f>
        <v>6800</v>
      </c>
      <c r="L36" s="11"/>
      <c r="N36" s="9"/>
      <c r="O36" s="5">
        <f>IF(AND(((H36/'Erkrankungs- und Strukturdaten'!$C$25)*'Erkrankungs- und Strukturdaten'!$E$27)+(H36/'Erkrankungs- und Strukturdaten'!$C$26)&lt;1,((H36/'Erkrankungs- und Strukturdaten'!$C$25)*'Erkrankungs- und Strukturdaten'!$E$27)+(H36/'Erkrankungs- und Strukturdaten'!$C$26)&gt;0),1,((H36/'Erkrankungs- und Strukturdaten'!$C$25)*'Erkrankungs- und Strukturdaten'!$E$27)+(H36/'Erkrankungs- und Strukturdaten'!$C$26))</f>
        <v>785.63333333333344</v>
      </c>
      <c r="P36" s="5">
        <f>ROUNDUP(((I36/'Erkrankungs- und Strukturdaten'!$C$28)*'Erkrankungs- und Strukturdaten'!$E$30)+(I36/'Erkrankungs- und Strukturdaten'!$C$29),0)</f>
        <v>370</v>
      </c>
      <c r="Q36" s="5">
        <f>ROUNDUP((H36/'Erkrankungs- und Strukturdaten'!$C$34*'Erkrankungs- und Strukturdaten'!$E$36)+(H36/'Erkrankungs- und Strukturdaten'!$C$35),0)</f>
        <v>126</v>
      </c>
      <c r="R36" s="5">
        <f>ROUNDUP((I36*'Erkrankungs- und Strukturdaten'!$C$40/'Erkrankungs- und Strukturdaten'!$C$38*'Erkrankungs- und Strukturdaten'!$E$39)+(I36*(1-'Erkrankungs- und Strukturdaten'!$C$40)/'Erkrankungs- und Strukturdaten'!$C$37*'Erkrankungs- und Strukturdaten'!$E$39),0)</f>
        <v>47</v>
      </c>
      <c r="S36" s="19"/>
      <c r="T36" s="51"/>
      <c r="U36" s="42"/>
      <c r="V36" s="42"/>
    </row>
    <row r="37" spans="1:22" ht="14.85" hidden="1" customHeight="1" x14ac:dyDescent="0.2">
      <c r="A37" s="42">
        <v>28</v>
      </c>
      <c r="B37" s="373"/>
      <c r="C37" s="28">
        <f t="shared" si="0"/>
        <v>44314</v>
      </c>
      <c r="D37" s="6">
        <f>SUMIF('Fallzahlen (Berechnung)'!D:D,"&lt;="&amp;Prognoseergebnis!C37,'Fallzahlen (Berechnung)'!E:E)-'Fallzahlen (Berechnung)'!$E$1</f>
        <v>655910</v>
      </c>
      <c r="E37" s="119">
        <f>VLOOKUP(C37,'Fallzahlen (Berechnung)'!$D:$E,'Fallzahlen (Berechnung)'!$E$1,FALSE)</f>
        <v>2006</v>
      </c>
      <c r="F37" s="26"/>
      <c r="G37" s="18">
        <v>28</v>
      </c>
      <c r="H37" s="6">
        <f>ROUND('Erkrankungs- und Strukturdaten'!$C$8*D37-IF(G37&gt;'Erkrankungs- und Strukturdaten'!$C$14,VLOOKUP(Prognoseergebnis!G37-ROUNDDOWN('Erkrankungs- und Strukturdaten'!$C$14,0),$A:$D,$D$6,FALSE)*'Erkrankungs- und Strukturdaten'!$C$8,0)
+IF(G37&gt;'Erkrankungs- und Strukturdaten'!$C$15,VLOOKUP(Prognoseergebnis!G37-ROUNDDOWN('Erkrankungs- und Strukturdaten'!$C$15,0),A:D,$D$6,FALSE)*'Erkrankungs- und Strukturdaten'!$C$9,0)
-IF(G37&gt;'Erkrankungs- und Strukturdaten'!$C$15+'Erkrankungs- und Strukturdaten'!$C$16,VLOOKUP(Prognoseergebnis!G37-ROUNDDOWN('Erkrankungs- und Strukturdaten'!$C$15-'Erkrankungs- und Strukturdaten'!$C$16,0),A:D,$D$6,FALSE)*'Erkrankungs- und Strukturdaten'!$C$9,0),0)</f>
        <v>1767</v>
      </c>
      <c r="I37" s="6">
        <f>ROUND('Erkrankungs- und Strukturdaten'!$C$9*D37-IF(G37&gt;'Erkrankungs- und Strukturdaten'!$C$15,VLOOKUP(Prognoseergebnis!G37-'Erkrankungs- und Strukturdaten'!$C$15,$A:$D,$D$6,FALSE)*'Erkrankungs- und Strukturdaten'!$C$9,0),0)</f>
        <v>335</v>
      </c>
      <c r="J37" s="6">
        <f>I37*'Erkrankungs- und Strukturdaten'!$C$10/'Erkrankungs- und Strukturdaten'!$C$9</f>
        <v>164.15</v>
      </c>
      <c r="K37" s="6">
        <f>I37*'Erkrankungs- und Strukturdaten'!$C$21</f>
        <v>6700</v>
      </c>
      <c r="L37" s="11"/>
      <c r="N37" s="9"/>
      <c r="O37" s="6">
        <f>IF(AND(((H37/'Erkrankungs- und Strukturdaten'!$C$25)*'Erkrankungs- und Strukturdaten'!$E$27)+(H37/'Erkrankungs- und Strukturdaten'!$C$26)&lt;1,((H37/'Erkrankungs- und Strukturdaten'!$C$25)*'Erkrankungs- und Strukturdaten'!$E$27)+(H37/'Erkrankungs- und Strukturdaten'!$C$26)&gt;0),1,((H37/'Erkrankungs- und Strukturdaten'!$C$25)*'Erkrankungs- und Strukturdaten'!$E$27)+(H37/'Erkrankungs- und Strukturdaten'!$C$26))</f>
        <v>765.7</v>
      </c>
      <c r="P37" s="6">
        <f>ROUNDUP(((I37/'Erkrankungs- und Strukturdaten'!$C$28)*'Erkrankungs- und Strukturdaten'!$E$30)+(I37/'Erkrankungs- und Strukturdaten'!$C$29),0)</f>
        <v>364</v>
      </c>
      <c r="Q37" s="6">
        <f>ROUNDUP((H37/'Erkrankungs- und Strukturdaten'!$C$34*'Erkrankungs- und Strukturdaten'!$E$36)+(H37/'Erkrankungs- und Strukturdaten'!$C$35),0)</f>
        <v>123</v>
      </c>
      <c r="R37" s="6">
        <f>ROUNDUP((I37*'Erkrankungs- und Strukturdaten'!$C$40/'Erkrankungs- und Strukturdaten'!$C$38*'Erkrankungs- und Strukturdaten'!$E$39)+(I37*(1-'Erkrankungs- und Strukturdaten'!$C$40)/'Erkrankungs- und Strukturdaten'!$C$37*'Erkrankungs- und Strukturdaten'!$E$39),0)</f>
        <v>46</v>
      </c>
      <c r="S37" s="19"/>
      <c r="T37" s="51"/>
      <c r="U37" s="42"/>
      <c r="V37" s="42"/>
    </row>
    <row r="38" spans="1:22" ht="14.85" hidden="1" customHeight="1" x14ac:dyDescent="0.2">
      <c r="A38" s="42">
        <v>29</v>
      </c>
      <c r="B38" s="378" t="s">
        <v>43</v>
      </c>
      <c r="C38" s="28">
        <f t="shared" ref="C38:C52" si="1">C39-1</f>
        <v>44315</v>
      </c>
      <c r="D38" s="5">
        <f>SUMIF('Fallzahlen (Berechnung)'!D:D,"&lt;="&amp;Prognoseergebnis!C38,'Fallzahlen (Berechnung)'!E:E)-'Fallzahlen (Berechnung)'!$E$1</f>
        <v>657620</v>
      </c>
      <c r="E38" s="116">
        <f>VLOOKUP(C38,'Fallzahlen (Berechnung)'!$D:$E,'Fallzahlen (Berechnung)'!$E$1,FALSE)</f>
        <v>1710</v>
      </c>
      <c r="F38" s="56"/>
      <c r="G38" s="18">
        <v>29</v>
      </c>
      <c r="H38" s="5">
        <f>ROUND('Erkrankungs- und Strukturdaten'!$C$8*D38-IF(G38&gt;'Erkrankungs- und Strukturdaten'!$C$14,VLOOKUP(Prognoseergebnis!G38-ROUNDDOWN('Erkrankungs- und Strukturdaten'!$C$14,0),$A:$D,$D$6,FALSE)*'Erkrankungs- und Strukturdaten'!$C$8,0)
+IF(G38&gt;'Erkrankungs- und Strukturdaten'!$C$15,VLOOKUP(Prognoseergebnis!G38-ROUNDDOWN('Erkrankungs- und Strukturdaten'!$C$15,0),A:D,$D$6,FALSE)*'Erkrankungs- und Strukturdaten'!$C$9,0)
-IF(G38&gt;'Erkrankungs- und Strukturdaten'!$C$15+'Erkrankungs- und Strukturdaten'!$C$16,VLOOKUP(Prognoseergebnis!G38-ROUNDDOWN('Erkrankungs- und Strukturdaten'!$C$15-'Erkrankungs- und Strukturdaten'!$C$16,0),A:D,$D$6,FALSE)*'Erkrankungs- und Strukturdaten'!$C$9,0),0)</f>
        <v>1687</v>
      </c>
      <c r="I38" s="5">
        <f>ROUND('Erkrankungs- und Strukturdaten'!$C$9*D38-IF(G38&gt;'Erkrankungs- und Strukturdaten'!$C$15,VLOOKUP(Prognoseergebnis!G38-'Erkrankungs- und Strukturdaten'!$C$15,$A:$D,$D$6,FALSE)*'Erkrankungs- und Strukturdaten'!$C$9,0),0)</f>
        <v>330</v>
      </c>
      <c r="J38" s="5">
        <f>I38*'Erkrankungs- und Strukturdaten'!$C$10/'Erkrankungs- und Strukturdaten'!$C$9</f>
        <v>161.69999999999999</v>
      </c>
      <c r="K38" s="5">
        <f>I38*'Erkrankungs- und Strukturdaten'!$C$21</f>
        <v>6600</v>
      </c>
      <c r="L38" s="11"/>
      <c r="N38" s="9"/>
      <c r="O38" s="5">
        <f>IF(AND(((H38/'Erkrankungs- und Strukturdaten'!$C$25)*'Erkrankungs- und Strukturdaten'!$E$27)+(H38/'Erkrankungs- und Strukturdaten'!$C$26)&lt;1,((H38/'Erkrankungs- und Strukturdaten'!$C$25)*'Erkrankungs- und Strukturdaten'!$E$27)+(H38/'Erkrankungs- und Strukturdaten'!$C$26)&gt;0),1,((H38/'Erkrankungs- und Strukturdaten'!$C$25)*'Erkrankungs- und Strukturdaten'!$E$27)+(H38/'Erkrankungs- und Strukturdaten'!$C$26))</f>
        <v>731.0333333333333</v>
      </c>
      <c r="P38" s="5">
        <f>ROUNDUP(((I38/'Erkrankungs- und Strukturdaten'!$C$28)*'Erkrankungs- und Strukturdaten'!$E$30)+(I38/'Erkrankungs- und Strukturdaten'!$C$29),0)</f>
        <v>359</v>
      </c>
      <c r="Q38" s="5">
        <f>ROUNDUP((H38/'Erkrankungs- und Strukturdaten'!$C$34*'Erkrankungs- und Strukturdaten'!$E$36)+(H38/'Erkrankungs- und Strukturdaten'!$C$35),0)</f>
        <v>118</v>
      </c>
      <c r="R38" s="5">
        <f>ROUNDUP((I38*'Erkrankungs- und Strukturdaten'!$C$40/'Erkrankungs- und Strukturdaten'!$C$38*'Erkrankungs- und Strukturdaten'!$E$39)+(I38*(1-'Erkrankungs- und Strukturdaten'!$C$40)/'Erkrankungs- und Strukturdaten'!$C$37*'Erkrankungs- und Strukturdaten'!$E$39),0)</f>
        <v>46</v>
      </c>
      <c r="S38" s="19"/>
      <c r="T38" s="48"/>
      <c r="U38" s="42"/>
      <c r="V38" s="42"/>
    </row>
    <row r="39" spans="1:22" ht="14.85" hidden="1" customHeight="1" x14ac:dyDescent="0.2">
      <c r="A39" s="42">
        <v>30</v>
      </c>
      <c r="B39" s="375"/>
      <c r="C39" s="27">
        <f t="shared" si="1"/>
        <v>44316</v>
      </c>
      <c r="D39" s="6">
        <f>SUMIF('Fallzahlen (Berechnung)'!D:D,"&lt;="&amp;Prognoseergebnis!C39,'Fallzahlen (Berechnung)'!E:E)-'Fallzahlen (Berechnung)'!$E$1</f>
        <v>659297</v>
      </c>
      <c r="E39" s="114">
        <f>VLOOKUP(C39,'Fallzahlen (Berechnung)'!$D:$E,'Fallzahlen (Berechnung)'!$E$1,FALSE)</f>
        <v>1677</v>
      </c>
      <c r="F39" s="56"/>
      <c r="G39" s="18">
        <v>30</v>
      </c>
      <c r="H39" s="6">
        <f>ROUND('Erkrankungs- und Strukturdaten'!$C$8*D39-IF(G39&gt;'Erkrankungs- und Strukturdaten'!$C$14,VLOOKUP(Prognoseergebnis!G39-ROUNDDOWN('Erkrankungs- und Strukturdaten'!$C$14,0),$A:$D,$D$6,FALSE)*'Erkrankungs- und Strukturdaten'!$C$8,0)
+IF(G39&gt;'Erkrankungs- und Strukturdaten'!$C$15,VLOOKUP(Prognoseergebnis!G39-ROUNDDOWN('Erkrankungs- und Strukturdaten'!$C$15,0),A:D,$D$6,FALSE)*'Erkrankungs- und Strukturdaten'!$C$9,0)
-IF(G39&gt;'Erkrankungs- und Strukturdaten'!$C$15+'Erkrankungs- und Strukturdaten'!$C$16,VLOOKUP(Prognoseergebnis!G39-ROUNDDOWN('Erkrankungs- und Strukturdaten'!$C$15-'Erkrankungs- und Strukturdaten'!$C$16,0),A:D,$D$6,FALSE)*'Erkrankungs- und Strukturdaten'!$C$9,0),0)</f>
        <v>1617</v>
      </c>
      <c r="I39" s="6">
        <f>ROUND('Erkrankungs- und Strukturdaten'!$C$9*D39-IF(G39&gt;'Erkrankungs- und Strukturdaten'!$C$15,VLOOKUP(Prognoseergebnis!G39-'Erkrankungs- und Strukturdaten'!$C$15,$A:$D,$D$6,FALSE)*'Erkrankungs- und Strukturdaten'!$C$9,0),0)</f>
        <v>325</v>
      </c>
      <c r="J39" s="6">
        <f>I39*'Erkrankungs- und Strukturdaten'!$C$10/'Erkrankungs- und Strukturdaten'!$C$9</f>
        <v>159.25</v>
      </c>
      <c r="K39" s="6">
        <f>I39*'Erkrankungs- und Strukturdaten'!$C$21</f>
        <v>6500</v>
      </c>
      <c r="L39" s="12"/>
      <c r="N39" s="10"/>
      <c r="O39" s="6">
        <f>IF(AND(((H39/'Erkrankungs- und Strukturdaten'!$C$25)*'Erkrankungs- und Strukturdaten'!$E$27)+(H39/'Erkrankungs- und Strukturdaten'!$C$26)&lt;1,((H39/'Erkrankungs- und Strukturdaten'!$C$25)*'Erkrankungs- und Strukturdaten'!$E$27)+(H39/'Erkrankungs- und Strukturdaten'!$C$26)&gt;0),1,((H39/'Erkrankungs- und Strukturdaten'!$C$25)*'Erkrankungs- und Strukturdaten'!$E$27)+(H39/'Erkrankungs- und Strukturdaten'!$C$26))</f>
        <v>700.7</v>
      </c>
      <c r="P39" s="6">
        <f>ROUNDUP(((I39/'Erkrankungs- und Strukturdaten'!$C$28)*'Erkrankungs- und Strukturdaten'!$E$30)+(I39/'Erkrankungs- und Strukturdaten'!$C$29),0)</f>
        <v>353</v>
      </c>
      <c r="Q39" s="6">
        <f>ROUNDUP((H39/'Erkrankungs- und Strukturdaten'!$C$34*'Erkrankungs- und Strukturdaten'!$E$36)+(H39/'Erkrankungs- und Strukturdaten'!$C$35),0)</f>
        <v>113</v>
      </c>
      <c r="R39" s="6">
        <f>ROUNDUP((I39*'Erkrankungs- und Strukturdaten'!$C$40/'Erkrankungs- und Strukturdaten'!$C$38*'Erkrankungs- und Strukturdaten'!$E$39)+(I39*(1-'Erkrankungs- und Strukturdaten'!$C$40)/'Erkrankungs- und Strukturdaten'!$C$37*'Erkrankungs- und Strukturdaten'!$E$39),0)</f>
        <v>45</v>
      </c>
      <c r="S39" s="19"/>
      <c r="T39" s="48"/>
      <c r="U39" s="42"/>
      <c r="V39" s="42"/>
    </row>
    <row r="40" spans="1:22" ht="14.85" hidden="1" customHeight="1" x14ac:dyDescent="0.2">
      <c r="A40" s="42">
        <v>31</v>
      </c>
      <c r="B40" s="375"/>
      <c r="C40" s="28">
        <f t="shared" si="1"/>
        <v>44317</v>
      </c>
      <c r="D40" s="5">
        <f>SUMIF('Fallzahlen (Berechnung)'!D:D,"&lt;="&amp;Prognoseergebnis!C40,'Fallzahlen (Berechnung)'!E:E)-'Fallzahlen (Berechnung)'!$E$1</f>
        <v>660455</v>
      </c>
      <c r="E40" s="115">
        <f>VLOOKUP(C40,'Fallzahlen (Berechnung)'!$D:$E,'Fallzahlen (Berechnung)'!$E$1,FALSE)</f>
        <v>1158</v>
      </c>
      <c r="F40" s="56"/>
      <c r="G40" s="18">
        <v>31</v>
      </c>
      <c r="H40" s="5">
        <f>ROUND('Erkrankungs- und Strukturdaten'!$C$8*D40-IF(G40&gt;'Erkrankungs- und Strukturdaten'!$C$14,VLOOKUP(Prognoseergebnis!G40-ROUNDDOWN('Erkrankungs- und Strukturdaten'!$C$14,0),$A:$D,$D$6,FALSE)*'Erkrankungs- und Strukturdaten'!$C$8,0)
+IF(G40&gt;'Erkrankungs- und Strukturdaten'!$C$15,VLOOKUP(Prognoseergebnis!G40-ROUNDDOWN('Erkrankungs- und Strukturdaten'!$C$15,0),A:D,$D$6,FALSE)*'Erkrankungs- und Strukturdaten'!$C$9,0)
-IF(G40&gt;'Erkrankungs- und Strukturdaten'!$C$15+'Erkrankungs- und Strukturdaten'!$C$16,VLOOKUP(Prognoseergebnis!G40-ROUNDDOWN('Erkrankungs- und Strukturdaten'!$C$15-'Erkrankungs- und Strukturdaten'!$C$16,0),A:D,$D$6,FALSE)*'Erkrankungs- und Strukturdaten'!$C$9,0),0)</f>
        <v>1574</v>
      </c>
      <c r="I40" s="5">
        <f>ROUND('Erkrankungs- und Strukturdaten'!$C$9*D40-IF(G40&gt;'Erkrankungs- und Strukturdaten'!$C$15,VLOOKUP(Prognoseergebnis!G40-'Erkrankungs- und Strukturdaten'!$C$15,$A:$D,$D$6,FALSE)*'Erkrankungs- und Strukturdaten'!$C$9,0),0)</f>
        <v>314</v>
      </c>
      <c r="J40" s="5">
        <f>I40*'Erkrankungs- und Strukturdaten'!$C$10/'Erkrankungs- und Strukturdaten'!$C$9</f>
        <v>153.86000000000001</v>
      </c>
      <c r="K40" s="5">
        <f>I40*'Erkrankungs- und Strukturdaten'!$C$21</f>
        <v>6280</v>
      </c>
      <c r="L40" s="11"/>
      <c r="N40" s="9"/>
      <c r="O40" s="5">
        <f>IF(AND(((H40/'Erkrankungs- und Strukturdaten'!$C$25)*'Erkrankungs- und Strukturdaten'!$E$27)+(H40/'Erkrankungs- und Strukturdaten'!$C$26)&lt;1,((H40/'Erkrankungs- und Strukturdaten'!$C$25)*'Erkrankungs- und Strukturdaten'!$E$27)+(H40/'Erkrankungs- und Strukturdaten'!$C$26)&gt;0),1,((H40/'Erkrankungs- und Strukturdaten'!$C$25)*'Erkrankungs- und Strukturdaten'!$E$27)+(H40/'Erkrankungs- und Strukturdaten'!$C$26))</f>
        <v>682.06666666666661</v>
      </c>
      <c r="P40" s="5">
        <f>ROUNDUP(((I40/'Erkrankungs- und Strukturdaten'!$C$28)*'Erkrankungs- und Strukturdaten'!$E$30)+(I40/'Erkrankungs- und Strukturdaten'!$C$29),0)</f>
        <v>341</v>
      </c>
      <c r="Q40" s="5">
        <f>ROUNDUP((H40/'Erkrankungs- und Strukturdaten'!$C$34*'Erkrankungs- und Strukturdaten'!$E$36)+(H40/'Erkrankungs- und Strukturdaten'!$C$35),0)</f>
        <v>110</v>
      </c>
      <c r="R40" s="5">
        <f>ROUNDUP((I40*'Erkrankungs- und Strukturdaten'!$C$40/'Erkrankungs- und Strukturdaten'!$C$38*'Erkrankungs- und Strukturdaten'!$E$39)+(I40*(1-'Erkrankungs- und Strukturdaten'!$C$40)/'Erkrankungs- und Strukturdaten'!$C$37*'Erkrankungs- und Strukturdaten'!$E$39),0)</f>
        <v>43</v>
      </c>
      <c r="S40" s="19"/>
      <c r="T40" s="48"/>
      <c r="U40" s="42"/>
      <c r="V40" s="42"/>
    </row>
    <row r="41" spans="1:22" ht="14.85" hidden="1" customHeight="1" x14ac:dyDescent="0.2">
      <c r="A41" s="42">
        <v>32</v>
      </c>
      <c r="B41" s="375"/>
      <c r="C41" s="27">
        <f t="shared" si="1"/>
        <v>44318</v>
      </c>
      <c r="D41" s="6">
        <f>SUMIF('Fallzahlen (Berechnung)'!D:D,"&lt;="&amp;Prognoseergebnis!C41,'Fallzahlen (Berechnung)'!E:E)-'Fallzahlen (Berechnung)'!$E$1</f>
        <v>661287</v>
      </c>
      <c r="E41" s="114">
        <f>VLOOKUP(C41,'Fallzahlen (Berechnung)'!$D:$E,'Fallzahlen (Berechnung)'!$E$1,FALSE)</f>
        <v>832</v>
      </c>
      <c r="F41" s="56"/>
      <c r="G41" s="18">
        <v>32</v>
      </c>
      <c r="H41" s="6">
        <f>ROUND('Erkrankungs- und Strukturdaten'!$C$8*D41-IF(G41&gt;'Erkrankungs- und Strukturdaten'!$C$14,VLOOKUP(Prognoseergebnis!G41-ROUNDDOWN('Erkrankungs- und Strukturdaten'!$C$14,0),$A:$D,$D$6,FALSE)*'Erkrankungs- und Strukturdaten'!$C$8,0)
+IF(G41&gt;'Erkrankungs- und Strukturdaten'!$C$15,VLOOKUP(Prognoseergebnis!G41-ROUNDDOWN('Erkrankungs- und Strukturdaten'!$C$15,0),A:D,$D$6,FALSE)*'Erkrankungs- und Strukturdaten'!$C$9,0)
-IF(G41&gt;'Erkrankungs- und Strukturdaten'!$C$15+'Erkrankungs- und Strukturdaten'!$C$16,VLOOKUP(Prognoseergebnis!G41-ROUNDDOWN('Erkrankungs- und Strukturdaten'!$C$15-'Erkrankungs- und Strukturdaten'!$C$16,0),A:D,$D$6,FALSE)*'Erkrankungs- und Strukturdaten'!$C$9,0),0)</f>
        <v>1516</v>
      </c>
      <c r="I41" s="6">
        <f>ROUND('Erkrankungs- und Strukturdaten'!$C$9*D41-IF(G41&gt;'Erkrankungs- und Strukturdaten'!$C$15,VLOOKUP(Prognoseergebnis!G41-'Erkrankungs- und Strukturdaten'!$C$15,$A:$D,$D$6,FALSE)*'Erkrankungs- und Strukturdaten'!$C$9,0),0)</f>
        <v>307</v>
      </c>
      <c r="J41" s="6">
        <f>I41*'Erkrankungs- und Strukturdaten'!$C$10/'Erkrankungs- und Strukturdaten'!$C$9</f>
        <v>150.43</v>
      </c>
      <c r="K41" s="6">
        <f>I41*'Erkrankungs- und Strukturdaten'!$C$21</f>
        <v>6140</v>
      </c>
      <c r="L41" s="11"/>
      <c r="N41" s="9"/>
      <c r="O41" s="6">
        <f>IF(AND(((H41/'Erkrankungs- und Strukturdaten'!$C$25)*'Erkrankungs- und Strukturdaten'!$E$27)+(H41/'Erkrankungs- und Strukturdaten'!$C$26)&lt;1,((H41/'Erkrankungs- und Strukturdaten'!$C$25)*'Erkrankungs- und Strukturdaten'!$E$27)+(H41/'Erkrankungs- und Strukturdaten'!$C$26)&gt;0),1,((H41/'Erkrankungs- und Strukturdaten'!$C$25)*'Erkrankungs- und Strukturdaten'!$E$27)+(H41/'Erkrankungs- und Strukturdaten'!$C$26))</f>
        <v>656.93333333333328</v>
      </c>
      <c r="P41" s="6">
        <f>ROUNDUP(((I41/'Erkrankungs- und Strukturdaten'!$C$28)*'Erkrankungs- und Strukturdaten'!$E$30)+(I41/'Erkrankungs- und Strukturdaten'!$C$29),0)</f>
        <v>334</v>
      </c>
      <c r="Q41" s="6">
        <f>ROUNDUP((H41/'Erkrankungs- und Strukturdaten'!$C$34*'Erkrankungs- und Strukturdaten'!$E$36)+(H41/'Erkrankungs- und Strukturdaten'!$C$35),0)</f>
        <v>106</v>
      </c>
      <c r="R41" s="6">
        <f>ROUNDUP((I41*'Erkrankungs- und Strukturdaten'!$C$40/'Erkrankungs- und Strukturdaten'!$C$38*'Erkrankungs- und Strukturdaten'!$E$39)+(I41*(1-'Erkrankungs- und Strukturdaten'!$C$40)/'Erkrankungs- und Strukturdaten'!$C$37*'Erkrankungs- und Strukturdaten'!$E$39),0)</f>
        <v>42</v>
      </c>
      <c r="S41" s="19"/>
      <c r="T41" s="48"/>
      <c r="U41" s="42"/>
      <c r="V41" s="42"/>
    </row>
    <row r="42" spans="1:22" ht="14.85" hidden="1" customHeight="1" x14ac:dyDescent="0.2">
      <c r="A42" s="42">
        <v>33</v>
      </c>
      <c r="B42" s="375"/>
      <c r="C42" s="28">
        <f t="shared" si="1"/>
        <v>44319</v>
      </c>
      <c r="D42" s="5">
        <f>SUMIF('Fallzahlen (Berechnung)'!D:D,"&lt;="&amp;Prognoseergebnis!C42,'Fallzahlen (Berechnung)'!E:E)-'Fallzahlen (Berechnung)'!$E$1</f>
        <v>663303</v>
      </c>
      <c r="E42" s="115">
        <f>VLOOKUP(C42,'Fallzahlen (Berechnung)'!$D:$E,'Fallzahlen (Berechnung)'!$E$1,FALSE)</f>
        <v>2016</v>
      </c>
      <c r="F42" s="56"/>
      <c r="G42" s="18">
        <v>33</v>
      </c>
      <c r="H42" s="5">
        <f>ROUND('Erkrankungs- und Strukturdaten'!$C$8*D42-IF(G42&gt;'Erkrankungs- und Strukturdaten'!$C$14,VLOOKUP(Prognoseergebnis!G42-ROUNDDOWN('Erkrankungs- und Strukturdaten'!$C$14,0),$A:$D,$D$6,FALSE)*'Erkrankungs- und Strukturdaten'!$C$8,0)
+IF(G42&gt;'Erkrankungs- und Strukturdaten'!$C$15,VLOOKUP(Prognoseergebnis!G42-ROUNDDOWN('Erkrankungs- und Strukturdaten'!$C$15,0),A:D,$D$6,FALSE)*'Erkrankungs- und Strukturdaten'!$C$9,0)
-IF(G42&gt;'Erkrankungs- und Strukturdaten'!$C$15+'Erkrankungs- und Strukturdaten'!$C$16,VLOOKUP(Prognoseergebnis!G42-ROUNDDOWN('Erkrankungs- und Strukturdaten'!$C$15-'Erkrankungs- und Strukturdaten'!$C$16,0),A:D,$D$6,FALSE)*'Erkrankungs- und Strukturdaten'!$C$9,0),0)</f>
        <v>1452</v>
      </c>
      <c r="I42" s="5">
        <f>ROUND('Erkrankungs- und Strukturdaten'!$C$9*D42-IF(G42&gt;'Erkrankungs- und Strukturdaten'!$C$15,VLOOKUP(Prognoseergebnis!G42-'Erkrankungs- und Strukturdaten'!$C$15,$A:$D,$D$6,FALSE)*'Erkrankungs- und Strukturdaten'!$C$9,0),0)</f>
        <v>318</v>
      </c>
      <c r="J42" s="5">
        <f>I42*'Erkrankungs- und Strukturdaten'!$C$10/'Erkrankungs- und Strukturdaten'!$C$9</f>
        <v>155.82</v>
      </c>
      <c r="K42" s="5">
        <f>I42*'Erkrankungs- und Strukturdaten'!$C$21</f>
        <v>6360</v>
      </c>
      <c r="L42" s="11"/>
      <c r="N42" s="9"/>
      <c r="O42" s="5">
        <f>IF(AND(((H42/'Erkrankungs- und Strukturdaten'!$C$25)*'Erkrankungs- und Strukturdaten'!$E$27)+(H42/'Erkrankungs- und Strukturdaten'!$C$26)&lt;1,((H42/'Erkrankungs- und Strukturdaten'!$C$25)*'Erkrankungs- und Strukturdaten'!$E$27)+(H42/'Erkrankungs- und Strukturdaten'!$C$26)&gt;0),1,((H42/'Erkrankungs- und Strukturdaten'!$C$25)*'Erkrankungs- und Strukturdaten'!$E$27)+(H42/'Erkrankungs- und Strukturdaten'!$C$26))</f>
        <v>629.20000000000005</v>
      </c>
      <c r="P42" s="5">
        <f>ROUNDUP(((I42/'Erkrankungs- und Strukturdaten'!$C$28)*'Erkrankungs- und Strukturdaten'!$E$30)+(I42/'Erkrankungs- und Strukturdaten'!$C$29),0)</f>
        <v>346</v>
      </c>
      <c r="Q42" s="5">
        <f>ROUNDUP((H42/'Erkrankungs- und Strukturdaten'!$C$34*'Erkrankungs- und Strukturdaten'!$E$36)+(H42/'Erkrankungs- und Strukturdaten'!$C$35),0)</f>
        <v>101</v>
      </c>
      <c r="R42" s="5">
        <f>ROUNDUP((I42*'Erkrankungs- und Strukturdaten'!$C$40/'Erkrankungs- und Strukturdaten'!$C$38*'Erkrankungs- und Strukturdaten'!$E$39)+(I42*(1-'Erkrankungs- und Strukturdaten'!$C$40)/'Erkrankungs- und Strukturdaten'!$C$37*'Erkrankungs- und Strukturdaten'!$E$39),0)</f>
        <v>44</v>
      </c>
      <c r="S42" s="19"/>
      <c r="T42" s="48"/>
      <c r="U42" s="42"/>
      <c r="V42" s="42"/>
    </row>
    <row r="43" spans="1:22" ht="14.85" hidden="1" customHeight="1" x14ac:dyDescent="0.2">
      <c r="A43" s="42">
        <v>34</v>
      </c>
      <c r="B43" s="375"/>
      <c r="C43" s="27">
        <f t="shared" si="1"/>
        <v>44320</v>
      </c>
      <c r="D43" s="6">
        <f>SUMIF('Fallzahlen (Berechnung)'!D:D,"&lt;="&amp;Prognoseergebnis!C43,'Fallzahlen (Berechnung)'!E:E)-'Fallzahlen (Berechnung)'!$E$1</f>
        <v>665037</v>
      </c>
      <c r="E43" s="114">
        <f>VLOOKUP(C43,'Fallzahlen (Berechnung)'!$D:$E,'Fallzahlen (Berechnung)'!$E$1,FALSE)</f>
        <v>1734</v>
      </c>
      <c r="F43" s="56"/>
      <c r="G43" s="18">
        <v>34</v>
      </c>
      <c r="H43" s="6">
        <f>ROUND('Erkrankungs- und Strukturdaten'!$C$8*D43-IF(G43&gt;'Erkrankungs- und Strukturdaten'!$C$14,VLOOKUP(Prognoseergebnis!G43-ROUNDDOWN('Erkrankungs- und Strukturdaten'!$C$14,0),$A:$D,$D$6,FALSE)*'Erkrankungs- und Strukturdaten'!$C$8,0)
+IF(G43&gt;'Erkrankungs- und Strukturdaten'!$C$15,VLOOKUP(Prognoseergebnis!G43-ROUNDDOWN('Erkrankungs- und Strukturdaten'!$C$15,0),A:D,$D$6,FALSE)*'Erkrankungs- und Strukturdaten'!$C$9,0)
-IF(G43&gt;'Erkrankungs- und Strukturdaten'!$C$15+'Erkrankungs- und Strukturdaten'!$C$16,VLOOKUP(Prognoseergebnis!G43-ROUNDDOWN('Erkrankungs- und Strukturdaten'!$C$15-'Erkrankungs- und Strukturdaten'!$C$16,0),A:D,$D$6,FALSE)*'Erkrankungs- und Strukturdaten'!$C$9,0),0)</f>
        <v>1427</v>
      </c>
      <c r="I43" s="6">
        <f>ROUND('Erkrankungs- und Strukturdaten'!$C$9*D43-IF(G43&gt;'Erkrankungs- und Strukturdaten'!$C$15,VLOOKUP(Prognoseergebnis!G43-'Erkrankungs- und Strukturdaten'!$C$15,$A:$D,$D$6,FALSE)*'Erkrankungs- und Strukturdaten'!$C$9,0),0)</f>
        <v>307</v>
      </c>
      <c r="J43" s="6">
        <f>I43*'Erkrankungs- und Strukturdaten'!$C$10/'Erkrankungs- und Strukturdaten'!$C$9</f>
        <v>150.43</v>
      </c>
      <c r="K43" s="6">
        <f>I43*'Erkrankungs- und Strukturdaten'!$C$21</f>
        <v>6140</v>
      </c>
      <c r="L43" s="11"/>
      <c r="N43" s="9"/>
      <c r="O43" s="6">
        <f>IF(AND(((H43/'Erkrankungs- und Strukturdaten'!$C$25)*'Erkrankungs- und Strukturdaten'!$E$27)+(H43/'Erkrankungs- und Strukturdaten'!$C$26)&lt;1,((H43/'Erkrankungs- und Strukturdaten'!$C$25)*'Erkrankungs- und Strukturdaten'!$E$27)+(H43/'Erkrankungs- und Strukturdaten'!$C$26)&gt;0),1,((H43/'Erkrankungs- und Strukturdaten'!$C$25)*'Erkrankungs- und Strukturdaten'!$E$27)+(H43/'Erkrankungs- und Strukturdaten'!$C$26))</f>
        <v>618.36666666666667</v>
      </c>
      <c r="P43" s="6">
        <f>ROUNDUP(((I43/'Erkrankungs- und Strukturdaten'!$C$28)*'Erkrankungs- und Strukturdaten'!$E$30)+(I43/'Erkrankungs- und Strukturdaten'!$C$29),0)</f>
        <v>334</v>
      </c>
      <c r="Q43" s="6">
        <f>ROUNDUP((H43/'Erkrankungs- und Strukturdaten'!$C$34*'Erkrankungs- und Strukturdaten'!$E$36)+(H43/'Erkrankungs- und Strukturdaten'!$C$35),0)</f>
        <v>100</v>
      </c>
      <c r="R43" s="6">
        <f>ROUNDUP((I43*'Erkrankungs- und Strukturdaten'!$C$40/'Erkrankungs- und Strukturdaten'!$C$38*'Erkrankungs- und Strukturdaten'!$E$39)+(I43*(1-'Erkrankungs- und Strukturdaten'!$C$40)/'Erkrankungs- und Strukturdaten'!$C$37*'Erkrankungs- und Strukturdaten'!$E$39),0)</f>
        <v>42</v>
      </c>
      <c r="S43" s="19"/>
      <c r="T43" s="48"/>
      <c r="U43" s="42"/>
      <c r="V43" s="42"/>
    </row>
    <row r="44" spans="1:22" ht="14.85" hidden="1" customHeight="1" x14ac:dyDescent="0.2">
      <c r="A44" s="42">
        <v>35</v>
      </c>
      <c r="B44" s="375"/>
      <c r="C44" s="28">
        <f t="shared" si="1"/>
        <v>44321</v>
      </c>
      <c r="D44" s="5">
        <f>SUMIF('Fallzahlen (Berechnung)'!D:D,"&lt;="&amp;Prognoseergebnis!C44,'Fallzahlen (Berechnung)'!E:E)-'Fallzahlen (Berechnung)'!$E$1</f>
        <v>666687</v>
      </c>
      <c r="E44" s="117">
        <f>VLOOKUP(C44,'Fallzahlen (Berechnung)'!$D:$E,'Fallzahlen (Berechnung)'!$E$1,FALSE)</f>
        <v>1650</v>
      </c>
      <c r="F44" s="56"/>
      <c r="G44" s="18">
        <v>35</v>
      </c>
      <c r="H44" s="5">
        <f>ROUND('Erkrankungs- und Strukturdaten'!$C$8*D44-IF(G44&gt;'Erkrankungs- und Strukturdaten'!$C$14,VLOOKUP(Prognoseergebnis!G44-ROUNDDOWN('Erkrankungs- und Strukturdaten'!$C$14,0),$A:$D,$D$6,FALSE)*'Erkrankungs- und Strukturdaten'!$C$8,0)
+IF(G44&gt;'Erkrankungs- und Strukturdaten'!$C$15,VLOOKUP(Prognoseergebnis!G44-ROUNDDOWN('Erkrankungs- und Strukturdaten'!$C$15,0),A:D,$D$6,FALSE)*'Erkrankungs- und Strukturdaten'!$C$9,0)
-IF(G44&gt;'Erkrankungs- und Strukturdaten'!$C$15+'Erkrankungs- und Strukturdaten'!$C$16,VLOOKUP(Prognoseergebnis!G44-ROUNDDOWN('Erkrankungs- und Strukturdaten'!$C$15-'Erkrankungs- und Strukturdaten'!$C$16,0),A:D,$D$6,FALSE)*'Erkrankungs- und Strukturdaten'!$C$9,0),0)</f>
        <v>1376</v>
      </c>
      <c r="I44" s="5">
        <f>ROUND('Erkrankungs- und Strukturdaten'!$C$9*D44-IF(G44&gt;'Erkrankungs- und Strukturdaten'!$C$15,VLOOKUP(Prognoseergebnis!G44-'Erkrankungs- und Strukturdaten'!$C$15,$A:$D,$D$6,FALSE)*'Erkrankungs- und Strukturdaten'!$C$9,0),0)</f>
        <v>298</v>
      </c>
      <c r="J44" s="5">
        <f>I44*'Erkrankungs- und Strukturdaten'!$C$10/'Erkrankungs- und Strukturdaten'!$C$9</f>
        <v>146.02000000000001</v>
      </c>
      <c r="K44" s="5">
        <f>I44*'Erkrankungs- und Strukturdaten'!$C$21</f>
        <v>5960</v>
      </c>
      <c r="L44" s="11"/>
      <c r="N44" s="9"/>
      <c r="O44" s="5">
        <f>IF(AND(((H44/'Erkrankungs- und Strukturdaten'!$C$25)*'Erkrankungs- und Strukturdaten'!$E$27)+(H44/'Erkrankungs- und Strukturdaten'!$C$26)&lt;1,((H44/'Erkrankungs- und Strukturdaten'!$C$25)*'Erkrankungs- und Strukturdaten'!$E$27)+(H44/'Erkrankungs- und Strukturdaten'!$C$26)&gt;0),1,((H44/'Erkrankungs- und Strukturdaten'!$C$25)*'Erkrankungs- und Strukturdaten'!$E$27)+(H44/'Erkrankungs- und Strukturdaten'!$C$26))</f>
        <v>596.26666666666665</v>
      </c>
      <c r="P44" s="5">
        <f>ROUNDUP(((I44/'Erkrankungs- und Strukturdaten'!$C$28)*'Erkrankungs- und Strukturdaten'!$E$30)+(I44/'Erkrankungs- und Strukturdaten'!$C$29),0)</f>
        <v>324</v>
      </c>
      <c r="Q44" s="5">
        <f>ROUNDUP((H44/'Erkrankungs- und Strukturdaten'!$C$34*'Erkrankungs- und Strukturdaten'!$E$36)+(H44/'Erkrankungs- und Strukturdaten'!$C$35),0)</f>
        <v>96</v>
      </c>
      <c r="R44" s="5">
        <f>ROUNDUP((I44*'Erkrankungs- und Strukturdaten'!$C$40/'Erkrankungs- und Strukturdaten'!$C$38*'Erkrankungs- und Strukturdaten'!$E$39)+(I44*(1-'Erkrankungs- und Strukturdaten'!$C$40)/'Erkrankungs- und Strukturdaten'!$C$37*'Erkrankungs- und Strukturdaten'!$E$39),0)</f>
        <v>41</v>
      </c>
      <c r="S44" s="19"/>
      <c r="T44" s="48"/>
      <c r="U44" s="42"/>
      <c r="V44" s="42"/>
    </row>
    <row r="45" spans="1:22" ht="14.85" hidden="1" customHeight="1" x14ac:dyDescent="0.2">
      <c r="A45" s="42">
        <v>36</v>
      </c>
      <c r="B45" s="379" t="s">
        <v>42</v>
      </c>
      <c r="C45" s="27">
        <f t="shared" si="1"/>
        <v>44322</v>
      </c>
      <c r="D45" s="6">
        <f>SUMIF('Fallzahlen (Berechnung)'!D:D,"&lt;="&amp;Prognoseergebnis!C45,'Fallzahlen (Berechnung)'!E:E)-'Fallzahlen (Berechnung)'!$E$1</f>
        <v>668170</v>
      </c>
      <c r="E45" s="118">
        <f>VLOOKUP(C45,'Fallzahlen (Berechnung)'!$D:$E,'Fallzahlen (Berechnung)'!$E$1,FALSE)</f>
        <v>1483</v>
      </c>
      <c r="F45" s="56"/>
      <c r="G45" s="18">
        <v>36</v>
      </c>
      <c r="H45" s="6">
        <f>ROUND('Erkrankungs- und Strukturdaten'!$C$8*D45-IF(G45&gt;'Erkrankungs- und Strukturdaten'!$C$14,VLOOKUP(Prognoseergebnis!G45-ROUNDDOWN('Erkrankungs- und Strukturdaten'!$C$14,0),$A:$D,$D$6,FALSE)*'Erkrankungs- und Strukturdaten'!$C$8,0)
+IF(G45&gt;'Erkrankungs- und Strukturdaten'!$C$15,VLOOKUP(Prognoseergebnis!G45-ROUNDDOWN('Erkrankungs- und Strukturdaten'!$C$15,0),A:D,$D$6,FALSE)*'Erkrankungs- und Strukturdaten'!$C$9,0)
-IF(G45&gt;'Erkrankungs- und Strukturdaten'!$C$15+'Erkrankungs- und Strukturdaten'!$C$16,VLOOKUP(Prognoseergebnis!G45-ROUNDDOWN('Erkrankungs- und Strukturdaten'!$C$15-'Erkrankungs- und Strukturdaten'!$C$16,0),A:D,$D$6,FALSE)*'Erkrankungs- und Strukturdaten'!$C$9,0),0)</f>
        <v>1348</v>
      </c>
      <c r="I45" s="6">
        <f>ROUND('Erkrankungs- und Strukturdaten'!$C$9*D45-IF(G45&gt;'Erkrankungs- und Strukturdaten'!$C$15,VLOOKUP(Prognoseergebnis!G45-'Erkrankungs- und Strukturdaten'!$C$15,$A:$D,$D$6,FALSE)*'Erkrankungs- und Strukturdaten'!$C$9,0),0)</f>
        <v>289</v>
      </c>
      <c r="J45" s="6">
        <f>I45*'Erkrankungs- und Strukturdaten'!$C$10/'Erkrankungs- und Strukturdaten'!$C$9</f>
        <v>141.60999999999999</v>
      </c>
      <c r="K45" s="6">
        <f>I45*'Erkrankungs- und Strukturdaten'!$C$21</f>
        <v>5780</v>
      </c>
      <c r="L45" s="11"/>
      <c r="N45" s="9"/>
      <c r="O45" s="6">
        <f>IF(AND(((H45/'Erkrankungs- und Strukturdaten'!$C$25)*'Erkrankungs- und Strukturdaten'!$E$27)+(H45/'Erkrankungs- und Strukturdaten'!$C$26)&lt;1,((H45/'Erkrankungs- und Strukturdaten'!$C$25)*'Erkrankungs- und Strukturdaten'!$E$27)+(H45/'Erkrankungs- und Strukturdaten'!$C$26)&gt;0),1,((H45/'Erkrankungs- und Strukturdaten'!$C$25)*'Erkrankungs- und Strukturdaten'!$E$27)+(H45/'Erkrankungs- und Strukturdaten'!$C$26))</f>
        <v>584.13333333333333</v>
      </c>
      <c r="P45" s="6">
        <f>ROUNDUP(((I45/'Erkrankungs- und Strukturdaten'!$C$28)*'Erkrankungs- und Strukturdaten'!$E$30)+(I45/'Erkrankungs- und Strukturdaten'!$C$29),0)</f>
        <v>314</v>
      </c>
      <c r="Q45" s="6">
        <f>ROUNDUP((H45/'Erkrankungs- und Strukturdaten'!$C$34*'Erkrankungs- und Strukturdaten'!$E$36)+(H45/'Erkrankungs- und Strukturdaten'!$C$35),0)</f>
        <v>94</v>
      </c>
      <c r="R45" s="6">
        <f>ROUNDUP((I45*'Erkrankungs- und Strukturdaten'!$C$40/'Erkrankungs- und Strukturdaten'!$C$38*'Erkrankungs- und Strukturdaten'!$E$39)+(I45*(1-'Erkrankungs- und Strukturdaten'!$C$40)/'Erkrankungs- und Strukturdaten'!$C$37*'Erkrankungs- und Strukturdaten'!$E$39),0)</f>
        <v>40</v>
      </c>
      <c r="S45" s="19"/>
      <c r="T45" s="48"/>
      <c r="U45" s="42"/>
      <c r="V45" s="42"/>
    </row>
    <row r="46" spans="1:22" ht="14.85" hidden="1" customHeight="1" x14ac:dyDescent="0.2">
      <c r="A46" s="42">
        <v>37</v>
      </c>
      <c r="B46" s="373"/>
      <c r="C46" s="28">
        <f t="shared" si="1"/>
        <v>44323</v>
      </c>
      <c r="D46" s="5">
        <f>SUMIF('Fallzahlen (Berechnung)'!D:D,"&lt;="&amp;Prognoseergebnis!C46,'Fallzahlen (Berechnung)'!E:E)-'Fallzahlen (Berechnung)'!$E$1</f>
        <v>669740</v>
      </c>
      <c r="E46" s="115">
        <f>VLOOKUP(C46,'Fallzahlen (Berechnung)'!$D:$E,'Fallzahlen (Berechnung)'!$E$1,FALSE)</f>
        <v>1570</v>
      </c>
      <c r="F46" s="56"/>
      <c r="G46" s="18">
        <v>37</v>
      </c>
      <c r="H46" s="5">
        <f>ROUND('Erkrankungs- und Strukturdaten'!$C$8*D46-IF(G46&gt;'Erkrankungs- und Strukturdaten'!$C$14,VLOOKUP(Prognoseergebnis!G46-ROUNDDOWN('Erkrankungs- und Strukturdaten'!$C$14,0),$A:$D,$D$6,FALSE)*'Erkrankungs- und Strukturdaten'!$C$8,0)
+IF(G46&gt;'Erkrankungs- und Strukturdaten'!$C$15,VLOOKUP(Prognoseergebnis!G46-ROUNDDOWN('Erkrankungs- und Strukturdaten'!$C$15,0),A:D,$D$6,FALSE)*'Erkrankungs- und Strukturdaten'!$C$9,0)
-IF(G46&gt;'Erkrankungs- und Strukturdaten'!$C$15+'Erkrankungs- und Strukturdaten'!$C$16,VLOOKUP(Prognoseergebnis!G46-ROUNDDOWN('Erkrankungs- und Strukturdaten'!$C$15-'Erkrankungs- und Strukturdaten'!$C$16,0),A:D,$D$6,FALSE)*'Erkrankungs- und Strukturdaten'!$C$9,0),0)</f>
        <v>1336</v>
      </c>
      <c r="I46" s="5">
        <f>ROUND('Erkrankungs- und Strukturdaten'!$C$9*D46-IF(G46&gt;'Erkrankungs- und Strukturdaten'!$C$15,VLOOKUP(Prognoseergebnis!G46-'Erkrankungs- und Strukturdaten'!$C$15,$A:$D,$D$6,FALSE)*'Erkrankungs- und Strukturdaten'!$C$9,0),0)</f>
        <v>281</v>
      </c>
      <c r="J46" s="5">
        <f>I46*'Erkrankungs- und Strukturdaten'!$C$10/'Erkrankungs- und Strukturdaten'!$C$9</f>
        <v>137.69</v>
      </c>
      <c r="K46" s="5">
        <f>I46*'Erkrankungs- und Strukturdaten'!$C$21</f>
        <v>5620</v>
      </c>
      <c r="L46" s="12"/>
      <c r="N46" s="10"/>
      <c r="O46" s="5">
        <f>IF(AND(((H46/'Erkrankungs- und Strukturdaten'!$C$25)*'Erkrankungs- und Strukturdaten'!$E$27)+(H46/'Erkrankungs- und Strukturdaten'!$C$26)&lt;1,((H46/'Erkrankungs- und Strukturdaten'!$C$25)*'Erkrankungs- und Strukturdaten'!$E$27)+(H46/'Erkrankungs- und Strukturdaten'!$C$26)&gt;0),1,((H46/'Erkrankungs- und Strukturdaten'!$C$25)*'Erkrankungs- und Strukturdaten'!$E$27)+(H46/'Erkrankungs- und Strukturdaten'!$C$26))</f>
        <v>578.93333333333328</v>
      </c>
      <c r="P46" s="5">
        <f>ROUNDUP(((I46/'Erkrankungs- und Strukturdaten'!$C$28)*'Erkrankungs- und Strukturdaten'!$E$30)+(I46/'Erkrankungs- und Strukturdaten'!$C$29),0)</f>
        <v>306</v>
      </c>
      <c r="Q46" s="5">
        <f>ROUNDUP((H46/'Erkrankungs- und Strukturdaten'!$C$34*'Erkrankungs- und Strukturdaten'!$E$36)+(H46/'Erkrankungs- und Strukturdaten'!$C$35),0)</f>
        <v>93</v>
      </c>
      <c r="R46" s="5">
        <f>ROUNDUP((I46*'Erkrankungs- und Strukturdaten'!$C$40/'Erkrankungs- und Strukturdaten'!$C$38*'Erkrankungs- und Strukturdaten'!$E$39)+(I46*(1-'Erkrankungs- und Strukturdaten'!$C$40)/'Erkrankungs- und Strukturdaten'!$C$37*'Erkrankungs- und Strukturdaten'!$E$39),0)</f>
        <v>39</v>
      </c>
      <c r="S46" s="19"/>
      <c r="T46" s="48"/>
      <c r="U46" s="42"/>
      <c r="V46" s="42"/>
    </row>
    <row r="47" spans="1:22" ht="14.85" hidden="1" customHeight="1" x14ac:dyDescent="0.2">
      <c r="A47" s="42">
        <v>38</v>
      </c>
      <c r="B47" s="373"/>
      <c r="C47" s="27">
        <f t="shared" si="1"/>
        <v>44324</v>
      </c>
      <c r="D47" s="6">
        <f>SUMIF('Fallzahlen (Berechnung)'!D:D,"&lt;="&amp;Prognoseergebnis!C47,'Fallzahlen (Berechnung)'!E:E)-'Fallzahlen (Berechnung)'!$E$1</f>
        <v>670802</v>
      </c>
      <c r="E47" s="114">
        <f>VLOOKUP(C47,'Fallzahlen (Berechnung)'!$D:$E,'Fallzahlen (Berechnung)'!$E$1,FALSE)</f>
        <v>1062</v>
      </c>
      <c r="F47" s="56"/>
      <c r="G47" s="18">
        <v>38</v>
      </c>
      <c r="H47" s="6">
        <f>ROUND('Erkrankungs- und Strukturdaten'!$C$8*D47-IF(G47&gt;'Erkrankungs- und Strukturdaten'!$C$14,VLOOKUP(Prognoseergebnis!G47-ROUNDDOWN('Erkrankungs- und Strukturdaten'!$C$14,0),$A:$D,$D$6,FALSE)*'Erkrankungs- und Strukturdaten'!$C$8,0)
+IF(G47&gt;'Erkrankungs- und Strukturdaten'!$C$15,VLOOKUP(Prognoseergebnis!G47-ROUNDDOWN('Erkrankungs- und Strukturdaten'!$C$15,0),A:D,$D$6,FALSE)*'Erkrankungs- und Strukturdaten'!$C$9,0)
-IF(G47&gt;'Erkrankungs- und Strukturdaten'!$C$15+'Erkrankungs- und Strukturdaten'!$C$16,VLOOKUP(Prognoseergebnis!G47-ROUNDDOWN('Erkrankungs- und Strukturdaten'!$C$15-'Erkrankungs- und Strukturdaten'!$C$16,0),A:D,$D$6,FALSE)*'Erkrankungs- und Strukturdaten'!$C$9,0),0)</f>
        <v>1327</v>
      </c>
      <c r="I47" s="6">
        <f>ROUND('Erkrankungs- und Strukturdaten'!$C$9*D47-IF(G47&gt;'Erkrankungs- und Strukturdaten'!$C$15,VLOOKUP(Prognoseergebnis!G47-'Erkrankungs- und Strukturdaten'!$C$15,$A:$D,$D$6,FALSE)*'Erkrankungs- und Strukturdaten'!$C$9,0),0)</f>
        <v>269</v>
      </c>
      <c r="J47" s="6">
        <f>I47*'Erkrankungs- und Strukturdaten'!$C$10/'Erkrankungs- und Strukturdaten'!$C$9</f>
        <v>131.81</v>
      </c>
      <c r="K47" s="6">
        <f>I47*'Erkrankungs- und Strukturdaten'!$C$21</f>
        <v>5380</v>
      </c>
      <c r="L47" s="11"/>
      <c r="N47" s="9"/>
      <c r="O47" s="6">
        <f>IF(AND(((H47/'Erkrankungs- und Strukturdaten'!$C$25)*'Erkrankungs- und Strukturdaten'!$E$27)+(H47/'Erkrankungs- und Strukturdaten'!$C$26)&lt;1,((H47/'Erkrankungs- und Strukturdaten'!$C$25)*'Erkrankungs- und Strukturdaten'!$E$27)+(H47/'Erkrankungs- und Strukturdaten'!$C$26)&gt;0),1,((H47/'Erkrankungs- und Strukturdaten'!$C$25)*'Erkrankungs- und Strukturdaten'!$E$27)+(H47/'Erkrankungs- und Strukturdaten'!$C$26))</f>
        <v>575.0333333333333</v>
      </c>
      <c r="P47" s="6">
        <f>ROUNDUP(((I47/'Erkrankungs- und Strukturdaten'!$C$28)*'Erkrankungs- und Strukturdaten'!$E$30)+(I47/'Erkrankungs- und Strukturdaten'!$C$29),0)</f>
        <v>293</v>
      </c>
      <c r="Q47" s="6">
        <f>ROUNDUP((H47/'Erkrankungs- und Strukturdaten'!$C$34*'Erkrankungs- und Strukturdaten'!$E$36)+(H47/'Erkrankungs- und Strukturdaten'!$C$35),0)</f>
        <v>93</v>
      </c>
      <c r="R47" s="6">
        <f>ROUNDUP((I47*'Erkrankungs- und Strukturdaten'!$C$40/'Erkrankungs- und Strukturdaten'!$C$38*'Erkrankungs- und Strukturdaten'!$E$39)+(I47*(1-'Erkrankungs- und Strukturdaten'!$C$40)/'Erkrankungs- und Strukturdaten'!$C$37*'Erkrankungs- und Strukturdaten'!$E$39),0)</f>
        <v>37</v>
      </c>
      <c r="S47" s="19"/>
      <c r="T47" s="48"/>
      <c r="U47" s="42"/>
      <c r="V47" s="42"/>
    </row>
    <row r="48" spans="1:22" ht="14.85" hidden="1" customHeight="1" x14ac:dyDescent="0.2">
      <c r="A48" s="42">
        <v>39</v>
      </c>
      <c r="B48" s="373"/>
      <c r="C48" s="28">
        <f t="shared" si="1"/>
        <v>44325</v>
      </c>
      <c r="D48" s="5">
        <f>SUMIF('Fallzahlen (Berechnung)'!D:D,"&lt;="&amp;Prognoseergebnis!C48,'Fallzahlen (Berechnung)'!E:E)-'Fallzahlen (Berechnung)'!$E$1</f>
        <v>671581</v>
      </c>
      <c r="E48" s="115">
        <f>VLOOKUP(C48,'Fallzahlen (Berechnung)'!$D:$E,'Fallzahlen (Berechnung)'!$E$1,FALSE)</f>
        <v>779</v>
      </c>
      <c r="F48" s="56"/>
      <c r="G48" s="18">
        <v>39</v>
      </c>
      <c r="H48" s="5">
        <f>ROUND('Erkrankungs- und Strukturdaten'!$C$8*D48-IF(G48&gt;'Erkrankungs- und Strukturdaten'!$C$14,VLOOKUP(Prognoseergebnis!G48-ROUNDDOWN('Erkrankungs- und Strukturdaten'!$C$14,0),$A:$D,$D$6,FALSE)*'Erkrankungs- und Strukturdaten'!$C$8,0)
+IF(G48&gt;'Erkrankungs- und Strukturdaten'!$C$15,VLOOKUP(Prognoseergebnis!G48-ROUNDDOWN('Erkrankungs- und Strukturdaten'!$C$15,0),A:D,$D$6,FALSE)*'Erkrankungs- und Strukturdaten'!$C$9,0)
-IF(G48&gt;'Erkrankungs- und Strukturdaten'!$C$15+'Erkrankungs- und Strukturdaten'!$C$16,VLOOKUP(Prognoseergebnis!G48-ROUNDDOWN('Erkrankungs- und Strukturdaten'!$C$15-'Erkrankungs- und Strukturdaten'!$C$16,0),A:D,$D$6,FALSE)*'Erkrankungs- und Strukturdaten'!$C$9,0),0)</f>
        <v>1317</v>
      </c>
      <c r="I48" s="5">
        <f>ROUND('Erkrankungs- und Strukturdaten'!$C$9*D48-IF(G48&gt;'Erkrankungs- und Strukturdaten'!$C$15,VLOOKUP(Prognoseergebnis!G48-'Erkrankungs- und Strukturdaten'!$C$15,$A:$D,$D$6,FALSE)*'Erkrankungs- und Strukturdaten'!$C$9,0),0)</f>
        <v>261</v>
      </c>
      <c r="J48" s="5">
        <f>I48*'Erkrankungs- und Strukturdaten'!$C$10/'Erkrankungs- und Strukturdaten'!$C$9</f>
        <v>127.88999999999999</v>
      </c>
      <c r="K48" s="5">
        <f>I48*'Erkrankungs- und Strukturdaten'!$C$21</f>
        <v>5220</v>
      </c>
      <c r="L48" s="11"/>
      <c r="N48" s="9"/>
      <c r="O48" s="5">
        <f>IF(AND(((H48/'Erkrankungs- und Strukturdaten'!$C$25)*'Erkrankungs- und Strukturdaten'!$E$27)+(H48/'Erkrankungs- und Strukturdaten'!$C$26)&lt;1,((H48/'Erkrankungs- und Strukturdaten'!$C$25)*'Erkrankungs- und Strukturdaten'!$E$27)+(H48/'Erkrankungs- und Strukturdaten'!$C$26)&gt;0),1,((H48/'Erkrankungs- und Strukturdaten'!$C$25)*'Erkrankungs- und Strukturdaten'!$E$27)+(H48/'Erkrankungs- und Strukturdaten'!$C$26))</f>
        <v>570.70000000000005</v>
      </c>
      <c r="P48" s="5">
        <f>ROUNDUP(((I48/'Erkrankungs- und Strukturdaten'!$C$28)*'Erkrankungs- und Strukturdaten'!$E$30)+(I48/'Erkrankungs- und Strukturdaten'!$C$29),0)</f>
        <v>284</v>
      </c>
      <c r="Q48" s="5">
        <f>ROUNDUP((H48/'Erkrankungs- und Strukturdaten'!$C$34*'Erkrankungs- und Strukturdaten'!$E$36)+(H48/'Erkrankungs- und Strukturdaten'!$C$35),0)</f>
        <v>92</v>
      </c>
      <c r="R48" s="5">
        <f>ROUNDUP((I48*'Erkrankungs- und Strukturdaten'!$C$40/'Erkrankungs- und Strukturdaten'!$C$38*'Erkrankungs- und Strukturdaten'!$E$39)+(I48*(1-'Erkrankungs- und Strukturdaten'!$C$40)/'Erkrankungs- und Strukturdaten'!$C$37*'Erkrankungs- und Strukturdaten'!$E$39),0)</f>
        <v>36</v>
      </c>
      <c r="S48" s="19"/>
      <c r="T48" s="48"/>
      <c r="U48" s="42"/>
      <c r="V48" s="42"/>
    </row>
    <row r="49" spans="1:22" ht="14.85" hidden="1" customHeight="1" x14ac:dyDescent="0.2">
      <c r="A49" s="42">
        <v>40</v>
      </c>
      <c r="B49" s="373"/>
      <c r="C49" s="27">
        <f t="shared" si="1"/>
        <v>44326</v>
      </c>
      <c r="D49" s="6">
        <f>SUMIF('Fallzahlen (Berechnung)'!D:D,"&lt;="&amp;Prognoseergebnis!C49,'Fallzahlen (Berechnung)'!E:E)-'Fallzahlen (Berechnung)'!$E$1</f>
        <v>673299</v>
      </c>
      <c r="E49" s="114">
        <f>VLOOKUP(C49,'Fallzahlen (Berechnung)'!$D:$E,'Fallzahlen (Berechnung)'!$E$1,FALSE)</f>
        <v>1718</v>
      </c>
      <c r="F49" s="56"/>
      <c r="G49" s="18">
        <v>40</v>
      </c>
      <c r="H49" s="6">
        <f>ROUND('Erkrankungs- und Strukturdaten'!$C$8*D49-IF(G49&gt;'Erkrankungs- und Strukturdaten'!$C$14,VLOOKUP(Prognoseergebnis!G49-ROUNDDOWN('Erkrankungs- und Strukturdaten'!$C$14,0),$A:$D,$D$6,FALSE)*'Erkrankungs- und Strukturdaten'!$C$8,0)
+IF(G49&gt;'Erkrankungs- und Strukturdaten'!$C$15,VLOOKUP(Prognoseergebnis!G49-ROUNDDOWN('Erkrankungs- und Strukturdaten'!$C$15,0),A:D,$D$6,FALSE)*'Erkrankungs- und Strukturdaten'!$C$9,0)
-IF(G49&gt;'Erkrankungs- und Strukturdaten'!$C$15+'Erkrankungs- und Strukturdaten'!$C$16,VLOOKUP(Prognoseergebnis!G49-ROUNDDOWN('Erkrankungs- und Strukturdaten'!$C$15-'Erkrankungs- und Strukturdaten'!$C$16,0),A:D,$D$6,FALSE)*'Erkrankungs- und Strukturdaten'!$C$9,0),0)</f>
        <v>1276</v>
      </c>
      <c r="I49" s="6">
        <f>ROUND('Erkrankungs- und Strukturdaten'!$C$9*D49-IF(G49&gt;'Erkrankungs- und Strukturdaten'!$C$15,VLOOKUP(Prognoseergebnis!G49-'Erkrankungs- und Strukturdaten'!$C$15,$A:$D,$D$6,FALSE)*'Erkrankungs- und Strukturdaten'!$C$9,0),0)</f>
        <v>267</v>
      </c>
      <c r="J49" s="6">
        <f>I49*'Erkrankungs- und Strukturdaten'!$C$10/'Erkrankungs- und Strukturdaten'!$C$9</f>
        <v>130.82999999999998</v>
      </c>
      <c r="K49" s="6">
        <f>I49*'Erkrankungs- und Strukturdaten'!$C$21</f>
        <v>5340</v>
      </c>
      <c r="L49" s="11"/>
      <c r="N49" s="9"/>
      <c r="O49" s="6">
        <f>IF(AND(((H49/'Erkrankungs- und Strukturdaten'!$C$25)*'Erkrankungs- und Strukturdaten'!$E$27)+(H49/'Erkrankungs- und Strukturdaten'!$C$26)&lt;1,((H49/'Erkrankungs- und Strukturdaten'!$C$25)*'Erkrankungs- und Strukturdaten'!$E$27)+(H49/'Erkrankungs- und Strukturdaten'!$C$26)&gt;0),1,((H49/'Erkrankungs- und Strukturdaten'!$C$25)*'Erkrankungs- und Strukturdaten'!$E$27)+(H49/'Erkrankungs- und Strukturdaten'!$C$26))</f>
        <v>552.93333333333328</v>
      </c>
      <c r="P49" s="6">
        <f>ROUNDUP(((I49/'Erkrankungs- und Strukturdaten'!$C$28)*'Erkrankungs- und Strukturdaten'!$E$30)+(I49/'Erkrankungs- und Strukturdaten'!$C$29),0)</f>
        <v>290</v>
      </c>
      <c r="Q49" s="6">
        <f>ROUNDUP((H49/'Erkrankungs- und Strukturdaten'!$C$34*'Erkrankungs- und Strukturdaten'!$E$36)+(H49/'Erkrankungs- und Strukturdaten'!$C$35),0)</f>
        <v>89</v>
      </c>
      <c r="R49" s="6">
        <f>ROUNDUP((I49*'Erkrankungs- und Strukturdaten'!$C$40/'Erkrankungs- und Strukturdaten'!$C$38*'Erkrankungs- und Strukturdaten'!$E$39)+(I49*(1-'Erkrankungs- und Strukturdaten'!$C$40)/'Erkrankungs- und Strukturdaten'!$C$37*'Erkrankungs- und Strukturdaten'!$E$39),0)</f>
        <v>37</v>
      </c>
      <c r="S49" s="19"/>
      <c r="T49" s="48"/>
      <c r="U49" s="42"/>
      <c r="V49" s="42"/>
    </row>
    <row r="50" spans="1:22" ht="14.85" hidden="1" customHeight="1" x14ac:dyDescent="0.2">
      <c r="A50" s="42">
        <v>41</v>
      </c>
      <c r="B50" s="373"/>
      <c r="C50" s="28">
        <f t="shared" si="1"/>
        <v>44327</v>
      </c>
      <c r="D50" s="5">
        <f>SUMIF('Fallzahlen (Berechnung)'!D:D,"&lt;="&amp;Prognoseergebnis!C50,'Fallzahlen (Berechnung)'!E:E)-'Fallzahlen (Berechnung)'!$E$1</f>
        <v>674679</v>
      </c>
      <c r="E50" s="115">
        <f>VLOOKUP(C50,'Fallzahlen (Berechnung)'!$D:$E,'Fallzahlen (Berechnung)'!$E$1,FALSE)</f>
        <v>1380</v>
      </c>
      <c r="F50" s="56"/>
      <c r="G50" s="18">
        <v>41</v>
      </c>
      <c r="H50" s="5">
        <f>ROUND('Erkrankungs- und Strukturdaten'!$C$8*D50-IF(G50&gt;'Erkrankungs- und Strukturdaten'!$C$14,VLOOKUP(Prognoseergebnis!G50-ROUNDDOWN('Erkrankungs- und Strukturdaten'!$C$14,0),$A:$D,$D$6,FALSE)*'Erkrankungs- und Strukturdaten'!$C$8,0)
+IF(G50&gt;'Erkrankungs- und Strukturdaten'!$C$15,VLOOKUP(Prognoseergebnis!G50-ROUNDDOWN('Erkrankungs- und Strukturdaten'!$C$15,0),A:D,$D$6,FALSE)*'Erkrankungs- und Strukturdaten'!$C$9,0)
-IF(G50&gt;'Erkrankungs- und Strukturdaten'!$C$15+'Erkrankungs- und Strukturdaten'!$C$16,VLOOKUP(Prognoseergebnis!G50-ROUNDDOWN('Erkrankungs- und Strukturdaten'!$C$15-'Erkrankungs- und Strukturdaten'!$C$16,0),A:D,$D$6,FALSE)*'Erkrankungs- und Strukturdaten'!$C$9,0),0)</f>
        <v>1244</v>
      </c>
      <c r="I50" s="5">
        <f>ROUND('Erkrankungs- und Strukturdaten'!$C$9*D50-IF(G50&gt;'Erkrankungs- und Strukturdaten'!$C$15,VLOOKUP(Prognoseergebnis!G50-'Erkrankungs- und Strukturdaten'!$C$15,$A:$D,$D$6,FALSE)*'Erkrankungs- und Strukturdaten'!$C$9,0),0)</f>
        <v>256</v>
      </c>
      <c r="J50" s="5">
        <f>I50*'Erkrankungs- und Strukturdaten'!$C$10/'Erkrankungs- und Strukturdaten'!$C$9</f>
        <v>125.44</v>
      </c>
      <c r="K50" s="5">
        <f>I50*'Erkrankungs- und Strukturdaten'!$C$21</f>
        <v>5120</v>
      </c>
      <c r="L50" s="11"/>
      <c r="N50" s="9"/>
      <c r="O50" s="5">
        <f>IF(AND(((H50/'Erkrankungs- und Strukturdaten'!$C$25)*'Erkrankungs- und Strukturdaten'!$E$27)+(H50/'Erkrankungs- und Strukturdaten'!$C$26)&lt;1,((H50/'Erkrankungs- und Strukturdaten'!$C$25)*'Erkrankungs- und Strukturdaten'!$E$27)+(H50/'Erkrankungs- und Strukturdaten'!$C$26)&gt;0),1,((H50/'Erkrankungs- und Strukturdaten'!$C$25)*'Erkrankungs- und Strukturdaten'!$E$27)+(H50/'Erkrankungs- und Strukturdaten'!$C$26))</f>
        <v>539.06666666666672</v>
      </c>
      <c r="P50" s="5">
        <f>ROUNDUP(((I50/'Erkrankungs- und Strukturdaten'!$C$28)*'Erkrankungs- und Strukturdaten'!$E$30)+(I50/'Erkrankungs- und Strukturdaten'!$C$29),0)</f>
        <v>278</v>
      </c>
      <c r="Q50" s="5">
        <f>ROUNDUP((H50/'Erkrankungs- und Strukturdaten'!$C$34*'Erkrankungs- und Strukturdaten'!$E$36)+(H50/'Erkrankungs- und Strukturdaten'!$C$35),0)</f>
        <v>87</v>
      </c>
      <c r="R50" s="5">
        <f>ROUNDUP((I50*'Erkrankungs- und Strukturdaten'!$C$40/'Erkrankungs- und Strukturdaten'!$C$38*'Erkrankungs- und Strukturdaten'!$E$39)+(I50*(1-'Erkrankungs- und Strukturdaten'!$C$40)/'Erkrankungs- und Strukturdaten'!$C$37*'Erkrankungs- und Strukturdaten'!$E$39),0)</f>
        <v>35</v>
      </c>
      <c r="S50" s="19"/>
      <c r="T50" s="48"/>
      <c r="U50" s="42"/>
      <c r="V50" s="42"/>
    </row>
    <row r="51" spans="1:22" ht="14.85" hidden="1" customHeight="1" x14ac:dyDescent="0.2">
      <c r="A51" s="42">
        <v>42</v>
      </c>
      <c r="B51" s="373"/>
      <c r="C51" s="27">
        <f t="shared" si="1"/>
        <v>44328</v>
      </c>
      <c r="D51" s="6">
        <f>SUMIF('Fallzahlen (Berechnung)'!D:D,"&lt;="&amp;Prognoseergebnis!C51,'Fallzahlen (Berechnung)'!E:E)-'Fallzahlen (Berechnung)'!$E$1</f>
        <v>676121</v>
      </c>
      <c r="E51" s="119">
        <f>VLOOKUP(C51,'Fallzahlen (Berechnung)'!$D:$E,'Fallzahlen (Berechnung)'!$E$1,FALSE)</f>
        <v>1442</v>
      </c>
      <c r="F51" s="56"/>
      <c r="G51" s="18">
        <v>42</v>
      </c>
      <c r="H51" s="6">
        <f>ROUND('Erkrankungs- und Strukturdaten'!$C$8*D51-IF(G51&gt;'Erkrankungs- und Strukturdaten'!$C$14,VLOOKUP(Prognoseergebnis!G51-ROUNDDOWN('Erkrankungs- und Strukturdaten'!$C$14,0),$A:$D,$D$6,FALSE)*'Erkrankungs- und Strukturdaten'!$C$8,0)
+IF(G51&gt;'Erkrankungs- und Strukturdaten'!$C$15,VLOOKUP(Prognoseergebnis!G51-ROUNDDOWN('Erkrankungs- und Strukturdaten'!$C$15,0),A:D,$D$6,FALSE)*'Erkrankungs- und Strukturdaten'!$C$9,0)
-IF(G51&gt;'Erkrankungs- und Strukturdaten'!$C$15+'Erkrankungs- und Strukturdaten'!$C$16,VLOOKUP(Prognoseergebnis!G51-ROUNDDOWN('Erkrankungs- und Strukturdaten'!$C$15-'Erkrankungs- und Strukturdaten'!$C$16,0),A:D,$D$6,FALSE)*'Erkrankungs- und Strukturdaten'!$C$9,0),0)</f>
        <v>1215</v>
      </c>
      <c r="I51" s="6">
        <f>ROUND('Erkrankungs- und Strukturdaten'!$C$9*D51-IF(G51&gt;'Erkrankungs- und Strukturdaten'!$C$15,VLOOKUP(Prognoseergebnis!G51-'Erkrankungs- und Strukturdaten'!$C$15,$A:$D,$D$6,FALSE)*'Erkrankungs- und Strukturdaten'!$C$9,0),0)</f>
        <v>249</v>
      </c>
      <c r="J51" s="6">
        <f>I51*'Erkrankungs- und Strukturdaten'!$C$10/'Erkrankungs- und Strukturdaten'!$C$9</f>
        <v>122.00999999999999</v>
      </c>
      <c r="K51" s="6">
        <f>I51*'Erkrankungs- und Strukturdaten'!$C$21</f>
        <v>4980</v>
      </c>
      <c r="L51" s="11"/>
      <c r="N51" s="9"/>
      <c r="O51" s="6">
        <f>IF(AND(((H51/'Erkrankungs- und Strukturdaten'!$C$25)*'Erkrankungs- und Strukturdaten'!$E$27)+(H51/'Erkrankungs- und Strukturdaten'!$C$26)&lt;1,((H51/'Erkrankungs- und Strukturdaten'!$C$25)*'Erkrankungs- und Strukturdaten'!$E$27)+(H51/'Erkrankungs- und Strukturdaten'!$C$26)&gt;0),1,((H51/'Erkrankungs- und Strukturdaten'!$C$25)*'Erkrankungs- und Strukturdaten'!$E$27)+(H51/'Erkrankungs- und Strukturdaten'!$C$26))</f>
        <v>526.5</v>
      </c>
      <c r="P51" s="6">
        <f>ROUNDUP(((I51/'Erkrankungs- und Strukturdaten'!$C$28)*'Erkrankungs- und Strukturdaten'!$E$30)+(I51/'Erkrankungs- und Strukturdaten'!$C$29),0)</f>
        <v>271</v>
      </c>
      <c r="Q51" s="6">
        <f>ROUNDUP((H51/'Erkrankungs- und Strukturdaten'!$C$34*'Erkrankungs- und Strukturdaten'!$E$36)+(H51/'Erkrankungs- und Strukturdaten'!$C$35),0)</f>
        <v>85</v>
      </c>
      <c r="R51" s="6">
        <f>ROUNDUP((I51*'Erkrankungs- und Strukturdaten'!$C$40/'Erkrankungs- und Strukturdaten'!$C$38*'Erkrankungs- und Strukturdaten'!$E$39)+(I51*(1-'Erkrankungs- und Strukturdaten'!$C$40)/'Erkrankungs- und Strukturdaten'!$C$37*'Erkrankungs- und Strukturdaten'!$E$39),0)</f>
        <v>35</v>
      </c>
      <c r="S51" s="19"/>
      <c r="T51" s="48"/>
      <c r="U51" s="42"/>
      <c r="V51" s="42"/>
    </row>
    <row r="52" spans="1:22" ht="14.85" hidden="1" customHeight="1" x14ac:dyDescent="0.2">
      <c r="A52" s="42">
        <v>43</v>
      </c>
      <c r="B52" s="378" t="s">
        <v>41</v>
      </c>
      <c r="C52" s="28">
        <f t="shared" si="1"/>
        <v>44329</v>
      </c>
      <c r="D52" s="5">
        <f>SUMIF('Fallzahlen (Berechnung)'!D:D,"&lt;="&amp;Prognoseergebnis!C52,'Fallzahlen (Berechnung)'!E:E)-'Fallzahlen (Berechnung)'!$E$1</f>
        <v>676792</v>
      </c>
      <c r="E52" s="116">
        <f>VLOOKUP(C52,'Fallzahlen (Berechnung)'!$D:$E,'Fallzahlen (Berechnung)'!$E$1,FALSE)</f>
        <v>671</v>
      </c>
      <c r="F52" s="26"/>
      <c r="G52" s="18">
        <v>43</v>
      </c>
      <c r="H52" s="5">
        <f>ROUND('Erkrankungs- und Strukturdaten'!$C$8*D52-IF(G52&gt;'Erkrankungs- und Strukturdaten'!$C$14,VLOOKUP(Prognoseergebnis!G52-ROUNDDOWN('Erkrankungs- und Strukturdaten'!$C$14,0),$A:$D,$D$6,FALSE)*'Erkrankungs- und Strukturdaten'!$C$8,0)
+IF(G52&gt;'Erkrankungs- und Strukturdaten'!$C$15,VLOOKUP(Prognoseergebnis!G52-ROUNDDOWN('Erkrankungs- und Strukturdaten'!$C$15,0),A:D,$D$6,FALSE)*'Erkrankungs- und Strukturdaten'!$C$9,0)
-IF(G52&gt;'Erkrankungs- und Strukturdaten'!$C$15+'Erkrankungs- und Strukturdaten'!$C$16,VLOOKUP(Prognoseergebnis!G52-ROUNDDOWN('Erkrankungs- und Strukturdaten'!$C$15-'Erkrankungs- und Strukturdaten'!$C$16,0),A:D,$D$6,FALSE)*'Erkrankungs- und Strukturdaten'!$C$9,0),0)</f>
        <v>1105</v>
      </c>
      <c r="I52" s="5">
        <f>ROUND('Erkrankungs- und Strukturdaten'!$C$9*D52-IF(G52&gt;'Erkrankungs- und Strukturdaten'!$C$15,VLOOKUP(Prognoseergebnis!G52-'Erkrankungs- und Strukturdaten'!$C$15,$A:$D,$D$6,FALSE)*'Erkrankungs- und Strukturdaten'!$C$9,0),0)</f>
        <v>234</v>
      </c>
      <c r="J52" s="5">
        <f>I52*'Erkrankungs- und Strukturdaten'!$C$10/'Erkrankungs- und Strukturdaten'!$C$9</f>
        <v>114.66</v>
      </c>
      <c r="K52" s="5">
        <f>I52*'Erkrankungs- und Strukturdaten'!$C$21</f>
        <v>4680</v>
      </c>
      <c r="L52" s="11"/>
      <c r="N52" s="9"/>
      <c r="O52" s="5">
        <f>IF(AND(((H52/'Erkrankungs- und Strukturdaten'!$C$25)*'Erkrankungs- und Strukturdaten'!$E$27)+(H52/'Erkrankungs- und Strukturdaten'!$C$26)&lt;1,((H52/'Erkrankungs- und Strukturdaten'!$C$25)*'Erkrankungs- und Strukturdaten'!$E$27)+(H52/'Erkrankungs- und Strukturdaten'!$C$26)&gt;0),1,((H52/'Erkrankungs- und Strukturdaten'!$C$25)*'Erkrankungs- und Strukturdaten'!$E$27)+(H52/'Erkrankungs- und Strukturdaten'!$C$26))</f>
        <v>478.83333333333331</v>
      </c>
      <c r="P52" s="5">
        <f>ROUNDUP(((I52/'Erkrankungs- und Strukturdaten'!$C$28)*'Erkrankungs- und Strukturdaten'!$E$30)+(I52/'Erkrankungs- und Strukturdaten'!$C$29),0)</f>
        <v>255</v>
      </c>
      <c r="Q52" s="5">
        <f>ROUNDUP((H52/'Erkrankungs- und Strukturdaten'!$C$34*'Erkrankungs- und Strukturdaten'!$E$36)+(H52/'Erkrankungs- und Strukturdaten'!$C$35),0)</f>
        <v>77</v>
      </c>
      <c r="R52" s="5">
        <f>ROUNDUP((I52*'Erkrankungs- und Strukturdaten'!$C$40/'Erkrankungs- und Strukturdaten'!$C$38*'Erkrankungs- und Strukturdaten'!$E$39)+(I52*(1-'Erkrankungs- und Strukturdaten'!$C$40)/'Erkrankungs- und Strukturdaten'!$C$37*'Erkrankungs- und Strukturdaten'!$E$39),0)</f>
        <v>32</v>
      </c>
      <c r="S52" s="19"/>
      <c r="T52" s="51"/>
      <c r="U52" s="42"/>
      <c r="V52" s="42"/>
    </row>
    <row r="53" spans="1:22" ht="14.85" hidden="1" customHeight="1" x14ac:dyDescent="0.2">
      <c r="A53" s="42">
        <v>44</v>
      </c>
      <c r="B53" s="375"/>
      <c r="C53" s="27">
        <f t="shared" ref="C53:C63" si="2">C54-1</f>
        <v>44330</v>
      </c>
      <c r="D53" s="6">
        <f>SUMIF('Fallzahlen (Berechnung)'!D:D,"&lt;="&amp;Prognoseergebnis!C53,'Fallzahlen (Berechnung)'!E:E)-'Fallzahlen (Berechnung)'!$E$1</f>
        <v>677960</v>
      </c>
      <c r="E53" s="114">
        <f>VLOOKUP(C53,'Fallzahlen (Berechnung)'!$D:$E,'Fallzahlen (Berechnung)'!$E$1,FALSE)</f>
        <v>1168</v>
      </c>
      <c r="F53" s="26"/>
      <c r="G53" s="18">
        <v>44</v>
      </c>
      <c r="H53" s="6">
        <f>ROUND('Erkrankungs- und Strukturdaten'!$C$8*D53-IF(G53&gt;'Erkrankungs- und Strukturdaten'!$C$14,VLOOKUP(Prognoseergebnis!G53-ROUNDDOWN('Erkrankungs- und Strukturdaten'!$C$14,0),$A:$D,$D$6,FALSE)*'Erkrankungs- und Strukturdaten'!$C$8,0)
+IF(G53&gt;'Erkrankungs- und Strukturdaten'!$C$15,VLOOKUP(Prognoseergebnis!G53-ROUNDDOWN('Erkrankungs- und Strukturdaten'!$C$15,0),A:D,$D$6,FALSE)*'Erkrankungs- und Strukturdaten'!$C$9,0)
-IF(G53&gt;'Erkrankungs- und Strukturdaten'!$C$15+'Erkrankungs- und Strukturdaten'!$C$16,VLOOKUP(Prognoseergebnis!G53-ROUNDDOWN('Erkrankungs- und Strukturdaten'!$C$15-'Erkrankungs- und Strukturdaten'!$C$16,0),A:D,$D$6,FALSE)*'Erkrankungs- und Strukturdaten'!$C$9,0),0)</f>
        <v>1049</v>
      </c>
      <c r="I53" s="6">
        <f>ROUND('Erkrankungs- und Strukturdaten'!$C$9*D53-IF(G53&gt;'Erkrankungs- und Strukturdaten'!$C$15,VLOOKUP(Prognoseergebnis!G53-'Erkrankungs- und Strukturdaten'!$C$15,$A:$D,$D$6,FALSE)*'Erkrankungs- und Strukturdaten'!$C$9,0),0)</f>
        <v>228</v>
      </c>
      <c r="J53" s="6">
        <f>I53*'Erkrankungs- und Strukturdaten'!$C$10/'Erkrankungs- und Strukturdaten'!$C$9</f>
        <v>111.72</v>
      </c>
      <c r="K53" s="6">
        <f>I53*'Erkrankungs- und Strukturdaten'!$C$21</f>
        <v>4560</v>
      </c>
      <c r="L53" s="12"/>
      <c r="N53" s="10"/>
      <c r="O53" s="6">
        <f>IF(AND(((H53/'Erkrankungs- und Strukturdaten'!$C$25)*'Erkrankungs- und Strukturdaten'!$E$27)+(H53/'Erkrankungs- und Strukturdaten'!$C$26)&lt;1,((H53/'Erkrankungs- und Strukturdaten'!$C$25)*'Erkrankungs- und Strukturdaten'!$E$27)+(H53/'Erkrankungs- und Strukturdaten'!$C$26)&gt;0),1,((H53/'Erkrankungs- und Strukturdaten'!$C$25)*'Erkrankungs- und Strukturdaten'!$E$27)+(H53/'Erkrankungs- und Strukturdaten'!$C$26))</f>
        <v>454.56666666666672</v>
      </c>
      <c r="P53" s="6">
        <f>ROUNDUP(((I53/'Erkrankungs- und Strukturdaten'!$C$28)*'Erkrankungs- und Strukturdaten'!$E$30)+(I53/'Erkrankungs- und Strukturdaten'!$C$29),0)</f>
        <v>248</v>
      </c>
      <c r="Q53" s="6">
        <f>ROUNDUP((H53/'Erkrankungs- und Strukturdaten'!$C$34*'Erkrankungs- und Strukturdaten'!$E$36)+(H53/'Erkrankungs- und Strukturdaten'!$C$35),0)</f>
        <v>73</v>
      </c>
      <c r="R53" s="6">
        <f>ROUNDUP((I53*'Erkrankungs- und Strukturdaten'!$C$40/'Erkrankungs- und Strukturdaten'!$C$38*'Erkrankungs- und Strukturdaten'!$E$39)+(I53*(1-'Erkrankungs- und Strukturdaten'!$C$40)/'Erkrankungs- und Strukturdaten'!$C$37*'Erkrankungs- und Strukturdaten'!$E$39),0)</f>
        <v>32</v>
      </c>
      <c r="S53" s="19"/>
      <c r="T53" s="51"/>
      <c r="U53" s="42"/>
      <c r="V53" s="42"/>
    </row>
    <row r="54" spans="1:22" ht="14.85" hidden="1" customHeight="1" x14ac:dyDescent="0.2">
      <c r="A54" s="42">
        <v>45</v>
      </c>
      <c r="B54" s="375"/>
      <c r="C54" s="28">
        <f t="shared" si="2"/>
        <v>44331</v>
      </c>
      <c r="D54" s="5">
        <f>SUMIF('Fallzahlen (Berechnung)'!D:D,"&lt;="&amp;Prognoseergebnis!C54,'Fallzahlen (Berechnung)'!E:E)-'Fallzahlen (Berechnung)'!$E$1</f>
        <v>678756</v>
      </c>
      <c r="E54" s="115">
        <f>VLOOKUP(C54,'Fallzahlen (Berechnung)'!$D:$E,'Fallzahlen (Berechnung)'!$E$1,FALSE)</f>
        <v>796</v>
      </c>
      <c r="F54" s="26"/>
      <c r="G54" s="18">
        <v>45</v>
      </c>
      <c r="H54" s="5">
        <f>ROUND('Erkrankungs- und Strukturdaten'!$C$8*D54-IF(G54&gt;'Erkrankungs- und Strukturdaten'!$C$14,VLOOKUP(Prognoseergebnis!G54-ROUNDDOWN('Erkrankungs- und Strukturdaten'!$C$14,0),$A:$D,$D$6,FALSE)*'Erkrankungs- und Strukturdaten'!$C$8,0)
+IF(G54&gt;'Erkrankungs- und Strukturdaten'!$C$15,VLOOKUP(Prognoseergebnis!G54-ROUNDDOWN('Erkrankungs- und Strukturdaten'!$C$15,0),A:D,$D$6,FALSE)*'Erkrankungs- und Strukturdaten'!$C$9,0)
-IF(G54&gt;'Erkrankungs- und Strukturdaten'!$C$15+'Erkrankungs- und Strukturdaten'!$C$16,VLOOKUP(Prognoseergebnis!G54-ROUNDDOWN('Erkrankungs- und Strukturdaten'!$C$15-'Erkrankungs- und Strukturdaten'!$C$16,0),A:D,$D$6,FALSE)*'Erkrankungs- und Strukturdaten'!$C$9,0),0)</f>
        <v>1014</v>
      </c>
      <c r="I54" s="5">
        <f>ROUND('Erkrankungs- und Strukturdaten'!$C$9*D54-IF(G54&gt;'Erkrankungs- und Strukturdaten'!$C$15,VLOOKUP(Prognoseergebnis!G54-'Erkrankungs- und Strukturdaten'!$C$15,$A:$D,$D$6,FALSE)*'Erkrankungs- und Strukturdaten'!$C$9,0),0)</f>
        <v>218</v>
      </c>
      <c r="J54" s="5">
        <f>I54*'Erkrankungs- und Strukturdaten'!$C$10/'Erkrankungs- und Strukturdaten'!$C$9</f>
        <v>106.82</v>
      </c>
      <c r="K54" s="5">
        <f>I54*'Erkrankungs- und Strukturdaten'!$C$21</f>
        <v>4360</v>
      </c>
      <c r="L54" s="11"/>
      <c r="N54" s="9"/>
      <c r="O54" s="5">
        <f>IF(AND(((H54/'Erkrankungs- und Strukturdaten'!$C$25)*'Erkrankungs- und Strukturdaten'!$E$27)+(H54/'Erkrankungs- und Strukturdaten'!$C$26)&lt;1,((H54/'Erkrankungs- und Strukturdaten'!$C$25)*'Erkrankungs- und Strukturdaten'!$E$27)+(H54/'Erkrankungs- und Strukturdaten'!$C$26)&gt;0),1,((H54/'Erkrankungs- und Strukturdaten'!$C$25)*'Erkrankungs- und Strukturdaten'!$E$27)+(H54/'Erkrankungs- und Strukturdaten'!$C$26))</f>
        <v>439.4</v>
      </c>
      <c r="P54" s="5">
        <f>ROUNDUP(((I54/'Erkrankungs- und Strukturdaten'!$C$28)*'Erkrankungs- und Strukturdaten'!$E$30)+(I54/'Erkrankungs- und Strukturdaten'!$C$29),0)</f>
        <v>237</v>
      </c>
      <c r="Q54" s="5">
        <f>ROUNDUP((H54/'Erkrankungs- und Strukturdaten'!$C$34*'Erkrankungs- und Strukturdaten'!$E$36)+(H54/'Erkrankungs- und Strukturdaten'!$C$35),0)</f>
        <v>71</v>
      </c>
      <c r="R54" s="5">
        <f>ROUNDUP((I54*'Erkrankungs- und Strukturdaten'!$C$40/'Erkrankungs- und Strukturdaten'!$C$38*'Erkrankungs- und Strukturdaten'!$E$39)+(I54*(1-'Erkrankungs- und Strukturdaten'!$C$40)/'Erkrankungs- und Strukturdaten'!$C$37*'Erkrankungs- und Strukturdaten'!$E$39),0)</f>
        <v>30</v>
      </c>
      <c r="S54" s="19"/>
      <c r="T54" s="51"/>
      <c r="U54" s="42"/>
      <c r="V54" s="42"/>
    </row>
    <row r="55" spans="1:22" ht="14.85" hidden="1" customHeight="1" x14ac:dyDescent="0.2">
      <c r="A55" s="42">
        <v>46</v>
      </c>
      <c r="B55" s="375"/>
      <c r="C55" s="27">
        <f t="shared" si="2"/>
        <v>44332</v>
      </c>
      <c r="D55" s="6">
        <f>SUMIF('Fallzahlen (Berechnung)'!D:D,"&lt;="&amp;Prognoseergebnis!C55,'Fallzahlen (Berechnung)'!E:E)-'Fallzahlen (Berechnung)'!$E$1</f>
        <v>679406</v>
      </c>
      <c r="E55" s="114">
        <f>VLOOKUP(C55,'Fallzahlen (Berechnung)'!$D:$E,'Fallzahlen (Berechnung)'!$E$1,FALSE)</f>
        <v>650</v>
      </c>
      <c r="F55" s="26"/>
      <c r="G55" s="18">
        <v>46</v>
      </c>
      <c r="H55" s="6">
        <f>ROUND('Erkrankungs- und Strukturdaten'!$C$8*D55-IF(G55&gt;'Erkrankungs- und Strukturdaten'!$C$14,VLOOKUP(Prognoseergebnis!G55-ROUNDDOWN('Erkrankungs- und Strukturdaten'!$C$14,0),$A:$D,$D$6,FALSE)*'Erkrankungs- und Strukturdaten'!$C$8,0)
+IF(G55&gt;'Erkrankungs- und Strukturdaten'!$C$15,VLOOKUP(Prognoseergebnis!G55-ROUNDDOWN('Erkrankungs- und Strukturdaten'!$C$15,0),A:D,$D$6,FALSE)*'Erkrankungs- und Strukturdaten'!$C$9,0)
-IF(G55&gt;'Erkrankungs- und Strukturdaten'!$C$15+'Erkrankungs- und Strukturdaten'!$C$16,VLOOKUP(Prognoseergebnis!G55-ROUNDDOWN('Erkrankungs- und Strukturdaten'!$C$15-'Erkrankungs- und Strukturdaten'!$C$16,0),A:D,$D$6,FALSE)*'Erkrankungs- und Strukturdaten'!$C$9,0),0)</f>
        <v>992</v>
      </c>
      <c r="I55" s="6">
        <f>ROUND('Erkrankungs- und Strukturdaten'!$C$9*D55-IF(G55&gt;'Erkrankungs- und Strukturdaten'!$C$15,VLOOKUP(Prognoseergebnis!G55-'Erkrankungs- und Strukturdaten'!$C$15,$A:$D,$D$6,FALSE)*'Erkrankungs- und Strukturdaten'!$C$9,0),0)</f>
        <v>212</v>
      </c>
      <c r="J55" s="6">
        <f>I55*'Erkrankungs- und Strukturdaten'!$C$10/'Erkrankungs- und Strukturdaten'!$C$9</f>
        <v>103.88</v>
      </c>
      <c r="K55" s="6">
        <f>I55*'Erkrankungs- und Strukturdaten'!$C$21</f>
        <v>4240</v>
      </c>
      <c r="L55" s="11"/>
      <c r="N55" s="9"/>
      <c r="O55" s="6">
        <f>IF(AND(((H55/'Erkrankungs- und Strukturdaten'!$C$25)*'Erkrankungs- und Strukturdaten'!$E$27)+(H55/'Erkrankungs- und Strukturdaten'!$C$26)&lt;1,((H55/'Erkrankungs- und Strukturdaten'!$C$25)*'Erkrankungs- und Strukturdaten'!$E$27)+(H55/'Erkrankungs- und Strukturdaten'!$C$26)&gt;0),1,((H55/'Erkrankungs- und Strukturdaten'!$C$25)*'Erkrankungs- und Strukturdaten'!$E$27)+(H55/'Erkrankungs- und Strukturdaten'!$C$26))</f>
        <v>429.86666666666667</v>
      </c>
      <c r="P55" s="6">
        <f>ROUNDUP(((I55/'Erkrankungs- und Strukturdaten'!$C$28)*'Erkrankungs- und Strukturdaten'!$E$30)+(I55/'Erkrankungs- und Strukturdaten'!$C$29),0)</f>
        <v>231</v>
      </c>
      <c r="Q55" s="6">
        <f>ROUNDUP((H55/'Erkrankungs- und Strukturdaten'!$C$34*'Erkrankungs- und Strukturdaten'!$E$36)+(H55/'Erkrankungs- und Strukturdaten'!$C$35),0)</f>
        <v>69</v>
      </c>
      <c r="R55" s="6">
        <f>ROUNDUP((I55*'Erkrankungs- und Strukturdaten'!$C$40/'Erkrankungs- und Strukturdaten'!$C$38*'Erkrankungs- und Strukturdaten'!$E$39)+(I55*(1-'Erkrankungs- und Strukturdaten'!$C$40)/'Erkrankungs- und Strukturdaten'!$C$37*'Erkrankungs- und Strukturdaten'!$E$39),0)</f>
        <v>29</v>
      </c>
      <c r="S55" s="19"/>
      <c r="T55" s="51"/>
      <c r="U55" s="42"/>
      <c r="V55" s="42"/>
    </row>
    <row r="56" spans="1:22" ht="14.85" hidden="1" customHeight="1" x14ac:dyDescent="0.2">
      <c r="A56" s="42">
        <v>47</v>
      </c>
      <c r="B56" s="375"/>
      <c r="C56" s="28">
        <f t="shared" si="2"/>
        <v>44333</v>
      </c>
      <c r="D56" s="5">
        <f>SUMIF('Fallzahlen (Berechnung)'!D:D,"&lt;="&amp;Prognoseergebnis!C56,'Fallzahlen (Berechnung)'!E:E)-'Fallzahlen (Berechnung)'!$E$1</f>
        <v>681074</v>
      </c>
      <c r="E56" s="115">
        <f>VLOOKUP(C56,'Fallzahlen (Berechnung)'!$D:$E,'Fallzahlen (Berechnung)'!$E$1,FALSE)</f>
        <v>1668</v>
      </c>
      <c r="F56" s="26"/>
      <c r="G56" s="18">
        <v>47</v>
      </c>
      <c r="H56" s="5">
        <f>ROUND('Erkrankungs- und Strukturdaten'!$C$8*D56-IF(G56&gt;'Erkrankungs- und Strukturdaten'!$C$14,VLOOKUP(Prognoseergebnis!G56-ROUNDDOWN('Erkrankungs- und Strukturdaten'!$C$14,0),$A:$D,$D$6,FALSE)*'Erkrankungs- und Strukturdaten'!$C$8,0)
+IF(G56&gt;'Erkrankungs- und Strukturdaten'!$C$15,VLOOKUP(Prognoseergebnis!G56-ROUNDDOWN('Erkrankungs- und Strukturdaten'!$C$15,0),A:D,$D$6,FALSE)*'Erkrankungs- und Strukturdaten'!$C$9,0)
-IF(G56&gt;'Erkrankungs- und Strukturdaten'!$C$15+'Erkrankungs- und Strukturdaten'!$C$16,VLOOKUP(Prognoseergebnis!G56-ROUNDDOWN('Erkrankungs- und Strukturdaten'!$C$15-'Erkrankungs- und Strukturdaten'!$C$16,0),A:D,$D$6,FALSE)*'Erkrankungs- und Strukturdaten'!$C$9,0),0)</f>
        <v>982</v>
      </c>
      <c r="I56" s="5">
        <f>ROUND('Erkrankungs- und Strukturdaten'!$C$9*D56-IF(G56&gt;'Erkrankungs- und Strukturdaten'!$C$15,VLOOKUP(Prognoseergebnis!G56-'Erkrankungs- und Strukturdaten'!$C$15,$A:$D,$D$6,FALSE)*'Erkrankungs- und Strukturdaten'!$C$9,0),0)</f>
        <v>222</v>
      </c>
      <c r="J56" s="5">
        <f>I56*'Erkrankungs- und Strukturdaten'!$C$10/'Erkrankungs- und Strukturdaten'!$C$9</f>
        <v>108.77999999999999</v>
      </c>
      <c r="K56" s="5">
        <f>I56*'Erkrankungs- und Strukturdaten'!$C$21</f>
        <v>4440</v>
      </c>
      <c r="L56" s="11"/>
      <c r="N56" s="9"/>
      <c r="O56" s="5">
        <f>IF(AND(((H56/'Erkrankungs- und Strukturdaten'!$C$25)*'Erkrankungs- und Strukturdaten'!$E$27)+(H56/'Erkrankungs- und Strukturdaten'!$C$26)&lt;1,((H56/'Erkrankungs- und Strukturdaten'!$C$25)*'Erkrankungs- und Strukturdaten'!$E$27)+(H56/'Erkrankungs- und Strukturdaten'!$C$26)&gt;0),1,((H56/'Erkrankungs- und Strukturdaten'!$C$25)*'Erkrankungs- und Strukturdaten'!$E$27)+(H56/'Erkrankungs- und Strukturdaten'!$C$26))</f>
        <v>425.5333333333333</v>
      </c>
      <c r="P56" s="5">
        <f>ROUNDUP(((I56/'Erkrankungs- und Strukturdaten'!$C$28)*'Erkrankungs- und Strukturdaten'!$E$30)+(I56/'Erkrankungs- und Strukturdaten'!$C$29),0)</f>
        <v>242</v>
      </c>
      <c r="Q56" s="5">
        <f>ROUNDUP((H56/'Erkrankungs- und Strukturdaten'!$C$34*'Erkrankungs- und Strukturdaten'!$E$36)+(H56/'Erkrankungs- und Strukturdaten'!$C$35),0)</f>
        <v>69</v>
      </c>
      <c r="R56" s="5">
        <f>ROUNDUP((I56*'Erkrankungs- und Strukturdaten'!$C$40/'Erkrankungs- und Strukturdaten'!$C$38*'Erkrankungs- und Strukturdaten'!$E$39)+(I56*(1-'Erkrankungs- und Strukturdaten'!$C$40)/'Erkrankungs- und Strukturdaten'!$C$37*'Erkrankungs- und Strukturdaten'!$E$39),0)</f>
        <v>31</v>
      </c>
      <c r="S56" s="19"/>
      <c r="T56" s="51"/>
      <c r="U56" s="42"/>
      <c r="V56" s="42"/>
    </row>
    <row r="57" spans="1:22" ht="14.85" hidden="1" customHeight="1" x14ac:dyDescent="0.2">
      <c r="A57" s="42">
        <v>48</v>
      </c>
      <c r="B57" s="375"/>
      <c r="C57" s="27">
        <f t="shared" si="2"/>
        <v>44334</v>
      </c>
      <c r="D57" s="6">
        <f>SUMIF('Fallzahlen (Berechnung)'!D:D,"&lt;="&amp;Prognoseergebnis!C57,'Fallzahlen (Berechnung)'!E:E)-'Fallzahlen (Berechnung)'!$E$1</f>
        <v>682416</v>
      </c>
      <c r="E57" s="114">
        <f>VLOOKUP(C57,'Fallzahlen (Berechnung)'!$D:$E,'Fallzahlen (Berechnung)'!$E$1,FALSE)</f>
        <v>1342</v>
      </c>
      <c r="F57" s="26"/>
      <c r="G57" s="18">
        <v>48</v>
      </c>
      <c r="H57" s="6">
        <f>ROUND('Erkrankungs- und Strukturdaten'!$C$8*D57-IF(G57&gt;'Erkrankungs- und Strukturdaten'!$C$14,VLOOKUP(Prognoseergebnis!G57-ROUNDDOWN('Erkrankungs- und Strukturdaten'!$C$14,0),$A:$D,$D$6,FALSE)*'Erkrankungs- und Strukturdaten'!$C$8,0)
+IF(G57&gt;'Erkrankungs- und Strukturdaten'!$C$15,VLOOKUP(Prognoseergebnis!G57-ROUNDDOWN('Erkrankungs- und Strukturdaten'!$C$15,0),A:D,$D$6,FALSE)*'Erkrankungs- und Strukturdaten'!$C$9,0)
-IF(G57&gt;'Erkrankungs- und Strukturdaten'!$C$15+'Erkrankungs- und Strukturdaten'!$C$16,VLOOKUP(Prognoseergebnis!G57-ROUNDDOWN('Erkrankungs- und Strukturdaten'!$C$15-'Erkrankungs- und Strukturdaten'!$C$16,0),A:D,$D$6,FALSE)*'Erkrankungs- und Strukturdaten'!$C$9,0),0)</f>
        <v>990</v>
      </c>
      <c r="I57" s="6">
        <f>ROUND('Erkrankungs- und Strukturdaten'!$C$9*D57-IF(G57&gt;'Erkrankungs- und Strukturdaten'!$C$15,VLOOKUP(Prognoseergebnis!G57-'Erkrankungs- und Strukturdaten'!$C$15,$A:$D,$D$6,FALSE)*'Erkrankungs- und Strukturdaten'!$C$9,0),0)</f>
        <v>214</v>
      </c>
      <c r="J57" s="6">
        <f>I57*'Erkrankungs- und Strukturdaten'!$C$10/'Erkrankungs- und Strukturdaten'!$C$9</f>
        <v>104.86</v>
      </c>
      <c r="K57" s="6">
        <f>I57*'Erkrankungs- und Strukturdaten'!$C$21</f>
        <v>4280</v>
      </c>
      <c r="L57" s="11"/>
      <c r="N57" s="9"/>
      <c r="O57" s="6">
        <f>IF(AND(((H57/'Erkrankungs- und Strukturdaten'!$C$25)*'Erkrankungs- und Strukturdaten'!$E$27)+(H57/'Erkrankungs- und Strukturdaten'!$C$26)&lt;1,((H57/'Erkrankungs- und Strukturdaten'!$C$25)*'Erkrankungs- und Strukturdaten'!$E$27)+(H57/'Erkrankungs- und Strukturdaten'!$C$26)&gt;0),1,((H57/'Erkrankungs- und Strukturdaten'!$C$25)*'Erkrankungs- und Strukturdaten'!$E$27)+(H57/'Erkrankungs- und Strukturdaten'!$C$26))</f>
        <v>429</v>
      </c>
      <c r="P57" s="6">
        <f>ROUNDUP(((I57/'Erkrankungs- und Strukturdaten'!$C$28)*'Erkrankungs- und Strukturdaten'!$E$30)+(I57/'Erkrankungs- und Strukturdaten'!$C$29),0)</f>
        <v>233</v>
      </c>
      <c r="Q57" s="6">
        <f>ROUNDUP((H57/'Erkrankungs- und Strukturdaten'!$C$34*'Erkrankungs- und Strukturdaten'!$E$36)+(H57/'Erkrankungs- und Strukturdaten'!$C$35),0)</f>
        <v>69</v>
      </c>
      <c r="R57" s="6">
        <f>ROUNDUP((I57*'Erkrankungs- und Strukturdaten'!$C$40/'Erkrankungs- und Strukturdaten'!$C$38*'Erkrankungs- und Strukturdaten'!$E$39)+(I57*(1-'Erkrankungs- und Strukturdaten'!$C$40)/'Erkrankungs- und Strukturdaten'!$C$37*'Erkrankungs- und Strukturdaten'!$E$39),0)</f>
        <v>30</v>
      </c>
      <c r="S57" s="19"/>
      <c r="T57" s="51"/>
      <c r="U57" s="42"/>
      <c r="V57" s="42"/>
    </row>
    <row r="58" spans="1:22" ht="14.85" hidden="1" customHeight="1" x14ac:dyDescent="0.2">
      <c r="A58" s="42">
        <v>49</v>
      </c>
      <c r="B58" s="375"/>
      <c r="C58" s="28">
        <f t="shared" si="2"/>
        <v>44335</v>
      </c>
      <c r="D58" s="5">
        <f>SUMIF('Fallzahlen (Berechnung)'!D:D,"&lt;="&amp;Prognoseergebnis!C58,'Fallzahlen (Berechnung)'!E:E)-'Fallzahlen (Berechnung)'!$E$1</f>
        <v>683626</v>
      </c>
      <c r="E58" s="117">
        <f>VLOOKUP(C58,'Fallzahlen (Berechnung)'!$D:$E,'Fallzahlen (Berechnung)'!$E$1,FALSE)</f>
        <v>1210</v>
      </c>
      <c r="F58" s="26"/>
      <c r="G58" s="18">
        <v>49</v>
      </c>
      <c r="H58" s="5">
        <f>ROUND('Erkrankungs- und Strukturdaten'!$C$8*D58-IF(G58&gt;'Erkrankungs- und Strukturdaten'!$C$14,VLOOKUP(Prognoseergebnis!G58-ROUNDDOWN('Erkrankungs- und Strukturdaten'!$C$14,0),$A:$D,$D$6,FALSE)*'Erkrankungs- und Strukturdaten'!$C$8,0)
+IF(G58&gt;'Erkrankungs- und Strukturdaten'!$C$15,VLOOKUP(Prognoseergebnis!G58-ROUNDDOWN('Erkrankungs- und Strukturdaten'!$C$15,0),A:D,$D$6,FALSE)*'Erkrankungs- und Strukturdaten'!$C$9,0)
-IF(G58&gt;'Erkrankungs- und Strukturdaten'!$C$15+'Erkrankungs- und Strukturdaten'!$C$16,VLOOKUP(Prognoseergebnis!G58-ROUNDDOWN('Erkrankungs- und Strukturdaten'!$C$15-'Erkrankungs- und Strukturdaten'!$C$16,0),A:D,$D$6,FALSE)*'Erkrankungs- und Strukturdaten'!$C$9,0),0)</f>
        <v>958</v>
      </c>
      <c r="I58" s="5">
        <f>ROUND('Erkrankungs- und Strukturdaten'!$C$9*D58-IF(G58&gt;'Erkrankungs- und Strukturdaten'!$C$15,VLOOKUP(Prognoseergebnis!G58-'Erkrankungs- und Strukturdaten'!$C$15,$A:$D,$D$6,FALSE)*'Erkrankungs- und Strukturdaten'!$C$9,0),0)</f>
        <v>208</v>
      </c>
      <c r="J58" s="5">
        <f>I58*'Erkrankungs- und Strukturdaten'!$C$10/'Erkrankungs- und Strukturdaten'!$C$9</f>
        <v>101.91999999999999</v>
      </c>
      <c r="K58" s="5">
        <f>I58*'Erkrankungs- und Strukturdaten'!$C$21</f>
        <v>4160</v>
      </c>
      <c r="L58" s="11"/>
      <c r="N58" s="9"/>
      <c r="O58" s="5">
        <f>IF(AND(((H58/'Erkrankungs- und Strukturdaten'!$C$25)*'Erkrankungs- und Strukturdaten'!$E$27)+(H58/'Erkrankungs- und Strukturdaten'!$C$26)&lt;1,((H58/'Erkrankungs- und Strukturdaten'!$C$25)*'Erkrankungs- und Strukturdaten'!$E$27)+(H58/'Erkrankungs- und Strukturdaten'!$C$26)&gt;0),1,((H58/'Erkrankungs- und Strukturdaten'!$C$25)*'Erkrankungs- und Strukturdaten'!$E$27)+(H58/'Erkrankungs- und Strukturdaten'!$C$26))</f>
        <v>415.13333333333333</v>
      </c>
      <c r="P58" s="5">
        <f>ROUNDUP(((I58/'Erkrankungs- und Strukturdaten'!$C$28)*'Erkrankungs- und Strukturdaten'!$E$30)+(I58/'Erkrankungs- und Strukturdaten'!$C$29),0)</f>
        <v>226</v>
      </c>
      <c r="Q58" s="5">
        <f>ROUNDUP((H58/'Erkrankungs- und Strukturdaten'!$C$34*'Erkrankungs- und Strukturdaten'!$E$36)+(H58/'Erkrankungs- und Strukturdaten'!$C$35),0)</f>
        <v>67</v>
      </c>
      <c r="R58" s="5">
        <f>ROUNDUP((I58*'Erkrankungs- und Strukturdaten'!$C$40/'Erkrankungs- und Strukturdaten'!$C$38*'Erkrankungs- und Strukturdaten'!$E$39)+(I58*(1-'Erkrankungs- und Strukturdaten'!$C$40)/'Erkrankungs- und Strukturdaten'!$C$37*'Erkrankungs- und Strukturdaten'!$E$39),0)</f>
        <v>29</v>
      </c>
      <c r="S58" s="19"/>
      <c r="T58" s="51"/>
      <c r="U58" s="42"/>
      <c r="V58" s="42"/>
    </row>
    <row r="59" spans="1:22" ht="14.85" hidden="1" customHeight="1" x14ac:dyDescent="0.2">
      <c r="A59" s="42">
        <v>50</v>
      </c>
      <c r="B59" s="379" t="s">
        <v>40</v>
      </c>
      <c r="C59" s="27">
        <f t="shared" si="2"/>
        <v>44336</v>
      </c>
      <c r="D59" s="6">
        <f>SUMIF('Fallzahlen (Berechnung)'!D:D,"&lt;="&amp;Prognoseergebnis!C59,'Fallzahlen (Berechnung)'!E:E)-'Fallzahlen (Berechnung)'!$E$1</f>
        <v>684663</v>
      </c>
      <c r="E59" s="118">
        <f>VLOOKUP(C59,'Fallzahlen (Berechnung)'!$D:$E,'Fallzahlen (Berechnung)'!$E$1,FALSE)</f>
        <v>1037</v>
      </c>
      <c r="F59" s="26"/>
      <c r="G59" s="18">
        <v>50</v>
      </c>
      <c r="H59" s="6">
        <f>ROUND('Erkrankungs- und Strukturdaten'!$C$8*D59-IF(G59&gt;'Erkrankungs- und Strukturdaten'!$C$14,VLOOKUP(Prognoseergebnis!G59-ROUNDDOWN('Erkrankungs- und Strukturdaten'!$C$14,0),$A:$D,$D$6,FALSE)*'Erkrankungs- und Strukturdaten'!$C$8,0)
+IF(G59&gt;'Erkrankungs- und Strukturdaten'!$C$15,VLOOKUP(Prognoseergebnis!G59-ROUNDDOWN('Erkrankungs- und Strukturdaten'!$C$15,0),A:D,$D$6,FALSE)*'Erkrankungs- und Strukturdaten'!$C$9,0)
-IF(G59&gt;'Erkrankungs- und Strukturdaten'!$C$15+'Erkrankungs- und Strukturdaten'!$C$16,VLOOKUP(Prognoseergebnis!G59-ROUNDDOWN('Erkrankungs- und Strukturdaten'!$C$15-'Erkrankungs- und Strukturdaten'!$C$16,0),A:D,$D$6,FALSE)*'Erkrankungs- und Strukturdaten'!$C$9,0),0)</f>
        <v>1012</v>
      </c>
      <c r="I59" s="6">
        <f>ROUND('Erkrankungs- und Strukturdaten'!$C$9*D59-IF(G59&gt;'Erkrankungs- und Strukturdaten'!$C$15,VLOOKUP(Prognoseergebnis!G59-'Erkrankungs- und Strukturdaten'!$C$15,$A:$D,$D$6,FALSE)*'Erkrankungs- und Strukturdaten'!$C$9,0),0)</f>
        <v>201</v>
      </c>
      <c r="J59" s="6">
        <f>I59*'Erkrankungs- und Strukturdaten'!$C$10/'Erkrankungs- und Strukturdaten'!$C$9</f>
        <v>98.49</v>
      </c>
      <c r="K59" s="6">
        <f>I59*'Erkrankungs- und Strukturdaten'!$C$21</f>
        <v>4020</v>
      </c>
      <c r="L59" s="11"/>
      <c r="N59" s="9"/>
      <c r="O59" s="6">
        <f>IF(AND(((H59/'Erkrankungs- und Strukturdaten'!$C$25)*'Erkrankungs- und Strukturdaten'!$E$27)+(H59/'Erkrankungs- und Strukturdaten'!$C$26)&lt;1,((H59/'Erkrankungs- und Strukturdaten'!$C$25)*'Erkrankungs- und Strukturdaten'!$E$27)+(H59/'Erkrankungs- und Strukturdaten'!$C$26)&gt;0),1,((H59/'Erkrankungs- und Strukturdaten'!$C$25)*'Erkrankungs- und Strukturdaten'!$E$27)+(H59/'Erkrankungs- und Strukturdaten'!$C$26))</f>
        <v>438.5333333333333</v>
      </c>
      <c r="P59" s="6">
        <f>ROUNDUP(((I59/'Erkrankungs- und Strukturdaten'!$C$28)*'Erkrankungs- und Strukturdaten'!$E$30)+(I59/'Erkrankungs- und Strukturdaten'!$C$29),0)</f>
        <v>219</v>
      </c>
      <c r="Q59" s="6">
        <f>ROUNDUP((H59/'Erkrankungs- und Strukturdaten'!$C$34*'Erkrankungs- und Strukturdaten'!$E$36)+(H59/'Erkrankungs- und Strukturdaten'!$C$35),0)</f>
        <v>71</v>
      </c>
      <c r="R59" s="6">
        <f>ROUNDUP((I59*'Erkrankungs- und Strukturdaten'!$C$40/'Erkrankungs- und Strukturdaten'!$C$38*'Erkrankungs- und Strukturdaten'!$E$39)+(I59*(1-'Erkrankungs- und Strukturdaten'!$C$40)/'Erkrankungs- und Strukturdaten'!$C$37*'Erkrankungs- und Strukturdaten'!$E$39),0)</f>
        <v>28</v>
      </c>
      <c r="S59" s="19"/>
      <c r="T59" s="51"/>
      <c r="U59" s="42"/>
      <c r="V59" s="42"/>
    </row>
    <row r="60" spans="1:22" ht="14.85" hidden="1" customHeight="1" x14ac:dyDescent="0.2">
      <c r="A60" s="42">
        <v>51</v>
      </c>
      <c r="B60" s="373"/>
      <c r="C60" s="28">
        <f t="shared" si="2"/>
        <v>44337</v>
      </c>
      <c r="D60" s="5">
        <f>SUMIF('Fallzahlen (Berechnung)'!D:D,"&lt;="&amp;Prognoseergebnis!C60,'Fallzahlen (Berechnung)'!E:E)-'Fallzahlen (Berechnung)'!$E$1</f>
        <v>685645</v>
      </c>
      <c r="E60" s="115">
        <f>VLOOKUP(C60,'Fallzahlen (Berechnung)'!$D:$E,'Fallzahlen (Berechnung)'!$E$1,FALSE)</f>
        <v>982</v>
      </c>
      <c r="F60" s="26"/>
      <c r="G60" s="18">
        <v>51</v>
      </c>
      <c r="H60" s="5">
        <f>ROUND('Erkrankungs- und Strukturdaten'!$C$8*D60-IF(G60&gt;'Erkrankungs- und Strukturdaten'!$C$14,VLOOKUP(Prognoseergebnis!G60-ROUNDDOWN('Erkrankungs- und Strukturdaten'!$C$14,0),$A:$D,$D$6,FALSE)*'Erkrankungs- und Strukturdaten'!$C$8,0)
+IF(G60&gt;'Erkrankungs- und Strukturdaten'!$C$15,VLOOKUP(Prognoseergebnis!G60-ROUNDDOWN('Erkrankungs- und Strukturdaten'!$C$15,0),A:D,$D$6,FALSE)*'Erkrankungs- und Strukturdaten'!$C$9,0)
-IF(G60&gt;'Erkrankungs- und Strukturdaten'!$C$15+'Erkrankungs- und Strukturdaten'!$C$16,VLOOKUP(Prognoseergebnis!G60-ROUNDDOWN('Erkrankungs- und Strukturdaten'!$C$15-'Erkrankungs- und Strukturdaten'!$C$16,0),A:D,$D$6,FALSE)*'Erkrankungs- und Strukturdaten'!$C$9,0),0)</f>
        <v>987</v>
      </c>
      <c r="I60" s="5">
        <f>ROUND('Erkrankungs- und Strukturdaten'!$C$9*D60-IF(G60&gt;'Erkrankungs- und Strukturdaten'!$C$15,VLOOKUP(Prognoseergebnis!G60-'Erkrankungs- und Strukturdaten'!$C$15,$A:$D,$D$6,FALSE)*'Erkrankungs- und Strukturdaten'!$C$9,0),0)</f>
        <v>196</v>
      </c>
      <c r="J60" s="5">
        <f>I60*'Erkrankungs- und Strukturdaten'!$C$10/'Erkrankungs- und Strukturdaten'!$C$9</f>
        <v>96.04</v>
      </c>
      <c r="K60" s="5">
        <f>I60*'Erkrankungs- und Strukturdaten'!$C$21</f>
        <v>3920</v>
      </c>
      <c r="L60" s="11"/>
      <c r="N60" s="9"/>
      <c r="O60" s="5">
        <f>IF(AND(((H60/'Erkrankungs- und Strukturdaten'!$C$25)*'Erkrankungs- und Strukturdaten'!$E$27)+(H60/'Erkrankungs- und Strukturdaten'!$C$26)&lt;1,((H60/'Erkrankungs- und Strukturdaten'!$C$25)*'Erkrankungs- und Strukturdaten'!$E$27)+(H60/'Erkrankungs- und Strukturdaten'!$C$26)&gt;0),1,((H60/'Erkrankungs- und Strukturdaten'!$C$25)*'Erkrankungs- und Strukturdaten'!$E$27)+(H60/'Erkrankungs- und Strukturdaten'!$C$26))</f>
        <v>427.7</v>
      </c>
      <c r="P60" s="5">
        <f>ROUNDUP(((I60/'Erkrankungs- und Strukturdaten'!$C$28)*'Erkrankungs- und Strukturdaten'!$E$30)+(I60/'Erkrankungs- und Strukturdaten'!$C$29),0)</f>
        <v>213</v>
      </c>
      <c r="Q60" s="5">
        <f>ROUNDUP((H60/'Erkrankungs- und Strukturdaten'!$C$34*'Erkrankungs- und Strukturdaten'!$E$36)+(H60/'Erkrankungs- und Strukturdaten'!$C$35),0)</f>
        <v>69</v>
      </c>
      <c r="R60" s="5">
        <f>ROUNDUP((I60*'Erkrankungs- und Strukturdaten'!$C$40/'Erkrankungs- und Strukturdaten'!$C$38*'Erkrankungs- und Strukturdaten'!$E$39)+(I60*(1-'Erkrankungs- und Strukturdaten'!$C$40)/'Erkrankungs- und Strukturdaten'!$C$37*'Erkrankungs- und Strukturdaten'!$E$39),0)</f>
        <v>27</v>
      </c>
      <c r="S60" s="19"/>
      <c r="T60" s="51"/>
      <c r="U60" s="42"/>
      <c r="V60" s="42"/>
    </row>
    <row r="61" spans="1:22" ht="14.85" hidden="1" customHeight="1" x14ac:dyDescent="0.2">
      <c r="A61" s="42">
        <v>52</v>
      </c>
      <c r="B61" s="373"/>
      <c r="C61" s="27">
        <f t="shared" si="2"/>
        <v>44338</v>
      </c>
      <c r="D61" s="6">
        <f>SUMIF('Fallzahlen (Berechnung)'!D:D,"&lt;="&amp;Prognoseergebnis!C61,'Fallzahlen (Berechnung)'!E:E)-'Fallzahlen (Berechnung)'!$E$1</f>
        <v>686268</v>
      </c>
      <c r="E61" s="114">
        <f>VLOOKUP(C61,'Fallzahlen (Berechnung)'!$D:$E,'Fallzahlen (Berechnung)'!$E$1,FALSE)</f>
        <v>623</v>
      </c>
      <c r="F61" s="26"/>
      <c r="G61" s="18">
        <v>52</v>
      </c>
      <c r="H61" s="6">
        <f>ROUND('Erkrankungs- und Strukturdaten'!$C$8*D61-IF(G61&gt;'Erkrankungs- und Strukturdaten'!$C$14,VLOOKUP(Prognoseergebnis!G61-ROUNDDOWN('Erkrankungs- und Strukturdaten'!$C$14,0),$A:$D,$D$6,FALSE)*'Erkrankungs- und Strukturdaten'!$C$8,0)
+IF(G61&gt;'Erkrankungs- und Strukturdaten'!$C$15,VLOOKUP(Prognoseergebnis!G61-ROUNDDOWN('Erkrankungs- und Strukturdaten'!$C$15,0),A:D,$D$6,FALSE)*'Erkrankungs- und Strukturdaten'!$C$9,0)
-IF(G61&gt;'Erkrankungs- und Strukturdaten'!$C$15+'Erkrankungs- und Strukturdaten'!$C$16,VLOOKUP(Prognoseergebnis!G61-ROUNDDOWN('Erkrankungs- und Strukturdaten'!$C$15-'Erkrankungs- und Strukturdaten'!$C$16,0),A:D,$D$6,FALSE)*'Erkrankungs- und Strukturdaten'!$C$9,0),0)</f>
        <v>973</v>
      </c>
      <c r="I61" s="6">
        <f>ROUND('Erkrankungs- und Strukturdaten'!$C$9*D61-IF(G61&gt;'Erkrankungs- und Strukturdaten'!$C$15,VLOOKUP(Prognoseergebnis!G61-'Erkrankungs- und Strukturdaten'!$C$15,$A:$D,$D$6,FALSE)*'Erkrankungs- und Strukturdaten'!$C$9,0),0)</f>
        <v>185</v>
      </c>
      <c r="J61" s="6">
        <f>I61*'Erkrankungs- und Strukturdaten'!$C$10/'Erkrankungs- und Strukturdaten'!$C$9</f>
        <v>90.65</v>
      </c>
      <c r="K61" s="6">
        <f>I61*'Erkrankungs- und Strukturdaten'!$C$21</f>
        <v>3700</v>
      </c>
      <c r="L61" s="11"/>
      <c r="N61" s="9"/>
      <c r="O61" s="6">
        <f>IF(AND(((H61/'Erkrankungs- und Strukturdaten'!$C$25)*'Erkrankungs- und Strukturdaten'!$E$27)+(H61/'Erkrankungs- und Strukturdaten'!$C$26)&lt;1,((H61/'Erkrankungs- und Strukturdaten'!$C$25)*'Erkrankungs- und Strukturdaten'!$E$27)+(H61/'Erkrankungs- und Strukturdaten'!$C$26)&gt;0),1,((H61/'Erkrankungs- und Strukturdaten'!$C$25)*'Erkrankungs- und Strukturdaten'!$E$27)+(H61/'Erkrankungs- und Strukturdaten'!$C$26))</f>
        <v>421.63333333333333</v>
      </c>
      <c r="P61" s="6">
        <f>ROUNDUP(((I61/'Erkrankungs- und Strukturdaten'!$C$28)*'Erkrankungs- und Strukturdaten'!$E$30)+(I61/'Erkrankungs- und Strukturdaten'!$C$29),0)</f>
        <v>201</v>
      </c>
      <c r="Q61" s="6">
        <f>ROUNDUP((H61/'Erkrankungs- und Strukturdaten'!$C$34*'Erkrankungs- und Strukturdaten'!$E$36)+(H61/'Erkrankungs- und Strukturdaten'!$C$35),0)</f>
        <v>68</v>
      </c>
      <c r="R61" s="6">
        <f>ROUNDUP((I61*'Erkrankungs- und Strukturdaten'!$C$40/'Erkrankungs- und Strukturdaten'!$C$38*'Erkrankungs- und Strukturdaten'!$E$39)+(I61*(1-'Erkrankungs- und Strukturdaten'!$C$40)/'Erkrankungs- und Strukturdaten'!$C$37*'Erkrankungs- und Strukturdaten'!$E$39),0)</f>
        <v>26</v>
      </c>
      <c r="S61" s="19"/>
      <c r="T61" s="51"/>
      <c r="U61" s="42"/>
      <c r="V61" s="42"/>
    </row>
    <row r="62" spans="1:22" ht="14.85" hidden="1" customHeight="1" x14ac:dyDescent="0.2">
      <c r="A62" s="42">
        <v>53</v>
      </c>
      <c r="B62" s="373"/>
      <c r="C62" s="28">
        <f t="shared" si="2"/>
        <v>44339</v>
      </c>
      <c r="D62" s="5">
        <f>SUMIF('Fallzahlen (Berechnung)'!D:D,"&lt;="&amp;Prognoseergebnis!C62,'Fallzahlen (Berechnung)'!E:E)-'Fallzahlen (Berechnung)'!$E$1</f>
        <v>686736</v>
      </c>
      <c r="E62" s="115">
        <f>VLOOKUP(C62,'Fallzahlen (Berechnung)'!$D:$E,'Fallzahlen (Berechnung)'!$E$1,FALSE)</f>
        <v>468</v>
      </c>
      <c r="F62" s="26"/>
      <c r="G62" s="18">
        <v>53</v>
      </c>
      <c r="H62" s="5">
        <f>ROUND('Erkrankungs- und Strukturdaten'!$C$8*D62-IF(G62&gt;'Erkrankungs- und Strukturdaten'!$C$14,VLOOKUP(Prognoseergebnis!G62-ROUNDDOWN('Erkrankungs- und Strukturdaten'!$C$14,0),$A:$D,$D$6,FALSE)*'Erkrankungs- und Strukturdaten'!$C$8,0)
+IF(G62&gt;'Erkrankungs- und Strukturdaten'!$C$15,VLOOKUP(Prognoseergebnis!G62-ROUNDDOWN('Erkrankungs- und Strukturdaten'!$C$15,0),A:D,$D$6,FALSE)*'Erkrankungs- und Strukturdaten'!$C$9,0)
-IF(G62&gt;'Erkrankungs- und Strukturdaten'!$C$15+'Erkrankungs- und Strukturdaten'!$C$16,VLOOKUP(Prognoseergebnis!G62-ROUNDDOWN('Erkrankungs- und Strukturdaten'!$C$15-'Erkrankungs- und Strukturdaten'!$C$16,0),A:D,$D$6,FALSE)*'Erkrankungs- und Strukturdaten'!$C$9,0),0)</f>
        <v>946</v>
      </c>
      <c r="I62" s="5">
        <f>ROUND('Erkrankungs- und Strukturdaten'!$C$9*D62-IF(G62&gt;'Erkrankungs- und Strukturdaten'!$C$15,VLOOKUP(Prognoseergebnis!G62-'Erkrankungs- und Strukturdaten'!$C$15,$A:$D,$D$6,FALSE)*'Erkrankungs- und Strukturdaten'!$C$9,0),0)</f>
        <v>178</v>
      </c>
      <c r="J62" s="5">
        <f>I62*'Erkrankungs- und Strukturdaten'!$C$10/'Erkrankungs- und Strukturdaten'!$C$9</f>
        <v>87.22</v>
      </c>
      <c r="K62" s="5">
        <f>I62*'Erkrankungs- und Strukturdaten'!$C$21</f>
        <v>3560</v>
      </c>
      <c r="L62" s="11"/>
      <c r="N62" s="9"/>
      <c r="O62" s="5">
        <f>IF(AND(((H62/'Erkrankungs- und Strukturdaten'!$C$25)*'Erkrankungs- und Strukturdaten'!$E$27)+(H62/'Erkrankungs- und Strukturdaten'!$C$26)&lt;1,((H62/'Erkrankungs- und Strukturdaten'!$C$25)*'Erkrankungs- und Strukturdaten'!$E$27)+(H62/'Erkrankungs- und Strukturdaten'!$C$26)&gt;0),1,((H62/'Erkrankungs- und Strukturdaten'!$C$25)*'Erkrankungs- und Strukturdaten'!$E$27)+(H62/'Erkrankungs- und Strukturdaten'!$C$26))</f>
        <v>409.93333333333328</v>
      </c>
      <c r="P62" s="5">
        <f>ROUNDUP(((I62/'Erkrankungs- und Strukturdaten'!$C$28)*'Erkrankungs- und Strukturdaten'!$E$30)+(I62/'Erkrankungs- und Strukturdaten'!$C$29),0)</f>
        <v>194</v>
      </c>
      <c r="Q62" s="5">
        <f>ROUNDUP((H62/'Erkrankungs- und Strukturdaten'!$C$34*'Erkrankungs- und Strukturdaten'!$E$36)+(H62/'Erkrankungs- und Strukturdaten'!$C$35),0)</f>
        <v>66</v>
      </c>
      <c r="R62" s="5">
        <f>ROUNDUP((I62*'Erkrankungs- und Strukturdaten'!$C$40/'Erkrankungs- und Strukturdaten'!$C$38*'Erkrankungs- und Strukturdaten'!$E$39)+(I62*(1-'Erkrankungs- und Strukturdaten'!$C$40)/'Erkrankungs- und Strukturdaten'!$C$37*'Erkrankungs- und Strukturdaten'!$E$39),0)</f>
        <v>25</v>
      </c>
      <c r="S62" s="19"/>
      <c r="T62" s="51"/>
      <c r="U62" s="42"/>
      <c r="V62" s="42"/>
    </row>
    <row r="63" spans="1:22" ht="14.85" hidden="1" customHeight="1" x14ac:dyDescent="0.2">
      <c r="A63" s="42">
        <v>54</v>
      </c>
      <c r="B63" s="373"/>
      <c r="C63" s="27">
        <f t="shared" si="2"/>
        <v>44340</v>
      </c>
      <c r="D63" s="6">
        <f>SUMIF('Fallzahlen (Berechnung)'!D:D,"&lt;="&amp;Prognoseergebnis!C63,'Fallzahlen (Berechnung)'!E:E)-'Fallzahlen (Berechnung)'!$E$1</f>
        <v>687313</v>
      </c>
      <c r="E63" s="114">
        <f>VLOOKUP(C63,'Fallzahlen (Berechnung)'!$D:$E,'Fallzahlen (Berechnung)'!$E$1,FALSE)</f>
        <v>577</v>
      </c>
      <c r="F63" s="26"/>
      <c r="G63" s="18">
        <v>54</v>
      </c>
      <c r="H63" s="6">
        <f>ROUND('Erkrankungs- und Strukturdaten'!$C$8*D63-IF(G63&gt;'Erkrankungs- und Strukturdaten'!$C$14,VLOOKUP(Prognoseergebnis!G63-ROUNDDOWN('Erkrankungs- und Strukturdaten'!$C$14,0),$A:$D,$D$6,FALSE)*'Erkrankungs- und Strukturdaten'!$C$8,0)
+IF(G63&gt;'Erkrankungs- und Strukturdaten'!$C$15,VLOOKUP(Prognoseergebnis!G63-ROUNDDOWN('Erkrankungs- und Strukturdaten'!$C$15,0),A:D,$D$6,FALSE)*'Erkrankungs- und Strukturdaten'!$C$9,0)
-IF(G63&gt;'Erkrankungs- und Strukturdaten'!$C$15+'Erkrankungs- und Strukturdaten'!$C$16,VLOOKUP(Prognoseergebnis!G63-ROUNDDOWN('Erkrankungs- und Strukturdaten'!$C$15-'Erkrankungs- und Strukturdaten'!$C$16,0),A:D,$D$6,FALSE)*'Erkrankungs- und Strukturdaten'!$C$9,0),0)</f>
        <v>793</v>
      </c>
      <c r="I63" s="6">
        <f>ROUND('Erkrankungs- und Strukturdaten'!$C$9*D63-IF(G63&gt;'Erkrankungs- und Strukturdaten'!$C$15,VLOOKUP(Prognoseergebnis!G63-'Erkrankungs- und Strukturdaten'!$C$15,$A:$D,$D$6,FALSE)*'Erkrankungs- und Strukturdaten'!$C$9,0),0)</f>
        <v>176</v>
      </c>
      <c r="J63" s="6">
        <f>I63*'Erkrankungs- und Strukturdaten'!$C$10/'Erkrankungs- und Strukturdaten'!$C$9</f>
        <v>86.24</v>
      </c>
      <c r="K63" s="6">
        <f>I63*'Erkrankungs- und Strukturdaten'!$C$21</f>
        <v>3520</v>
      </c>
      <c r="L63" s="11"/>
      <c r="N63" s="9"/>
      <c r="O63" s="6">
        <f>IF(AND(((H63/'Erkrankungs- und Strukturdaten'!$C$25)*'Erkrankungs- und Strukturdaten'!$E$27)+(H63/'Erkrankungs- und Strukturdaten'!$C$26)&lt;1,((H63/'Erkrankungs- und Strukturdaten'!$C$25)*'Erkrankungs- und Strukturdaten'!$E$27)+(H63/'Erkrankungs- und Strukturdaten'!$C$26)&gt;0),1,((H63/'Erkrankungs- und Strukturdaten'!$C$25)*'Erkrankungs- und Strukturdaten'!$E$27)+(H63/'Erkrankungs- und Strukturdaten'!$C$26))</f>
        <v>343.63333333333333</v>
      </c>
      <c r="P63" s="6">
        <f>ROUNDUP(((I63/'Erkrankungs- und Strukturdaten'!$C$28)*'Erkrankungs- und Strukturdaten'!$E$30)+(I63/'Erkrankungs- und Strukturdaten'!$C$29),0)</f>
        <v>192</v>
      </c>
      <c r="Q63" s="6">
        <f>ROUNDUP((H63/'Erkrankungs- und Strukturdaten'!$C$34*'Erkrankungs- und Strukturdaten'!$E$36)+(H63/'Erkrankungs- und Strukturdaten'!$C$35),0)</f>
        <v>56</v>
      </c>
      <c r="R63" s="6">
        <f>ROUNDUP((I63*'Erkrankungs- und Strukturdaten'!$C$40/'Erkrankungs- und Strukturdaten'!$C$38*'Erkrankungs- und Strukturdaten'!$E$39)+(I63*(1-'Erkrankungs- und Strukturdaten'!$C$40)/'Erkrankungs- und Strukturdaten'!$C$37*'Erkrankungs- und Strukturdaten'!$E$39),0)</f>
        <v>25</v>
      </c>
      <c r="S63" s="19"/>
      <c r="T63" s="51"/>
      <c r="U63" s="42"/>
      <c r="V63" s="42"/>
    </row>
    <row r="64" spans="1:22" ht="14.85" hidden="1" customHeight="1" x14ac:dyDescent="0.2">
      <c r="A64" s="42">
        <v>55</v>
      </c>
      <c r="B64" s="373"/>
      <c r="C64" s="28">
        <f>C65-1</f>
        <v>44341</v>
      </c>
      <c r="D64" s="5">
        <f>SUMIF('Fallzahlen (Berechnung)'!D:D,"&lt;="&amp;Prognoseergebnis!C64,'Fallzahlen (Berechnung)'!E:E)-'Fallzahlen (Berechnung)'!$E$1</f>
        <v>688430</v>
      </c>
      <c r="E64" s="115">
        <f>VLOOKUP(C64,'Fallzahlen (Berechnung)'!$D:$E,'Fallzahlen (Berechnung)'!$E$1,FALSE)</f>
        <v>1117</v>
      </c>
      <c r="F64" s="26"/>
      <c r="G64" s="18">
        <v>55</v>
      </c>
      <c r="H64" s="5">
        <f>ROUND('Erkrankungs- und Strukturdaten'!$C$8*D64-IF(G64&gt;'Erkrankungs- und Strukturdaten'!$C$14,VLOOKUP(Prognoseergebnis!G64-ROUNDDOWN('Erkrankungs- und Strukturdaten'!$C$14,0),$A:$D,$D$6,FALSE)*'Erkrankungs- und Strukturdaten'!$C$8,0)
+IF(G64&gt;'Erkrankungs- und Strukturdaten'!$C$15,VLOOKUP(Prognoseergebnis!G64-ROUNDDOWN('Erkrankungs- und Strukturdaten'!$C$15,0),A:D,$D$6,FALSE)*'Erkrankungs- und Strukturdaten'!$C$9,0)
-IF(G64&gt;'Erkrankungs- und Strukturdaten'!$C$15+'Erkrankungs- und Strukturdaten'!$C$16,VLOOKUP(Prognoseergebnis!G64-ROUNDDOWN('Erkrankungs- und Strukturdaten'!$C$15-'Erkrankungs- und Strukturdaten'!$C$16,0),A:D,$D$6,FALSE)*'Erkrankungs- und Strukturdaten'!$C$9,0),0)</f>
        <v>774</v>
      </c>
      <c r="I64" s="5">
        <f>ROUND('Erkrankungs- und Strukturdaten'!$C$9*D64-IF(G64&gt;'Erkrankungs- und Strukturdaten'!$C$15,VLOOKUP(Prognoseergebnis!G64-'Erkrankungs- und Strukturdaten'!$C$15,$A:$D,$D$6,FALSE)*'Erkrankungs- und Strukturdaten'!$C$9,0),0)</f>
        <v>169</v>
      </c>
      <c r="J64" s="5">
        <f>I64*'Erkrankungs- und Strukturdaten'!$C$10/'Erkrankungs- und Strukturdaten'!$C$9</f>
        <v>82.809999999999988</v>
      </c>
      <c r="K64" s="5">
        <f>I64*'Erkrankungs- und Strukturdaten'!$C$21</f>
        <v>3380</v>
      </c>
      <c r="L64" s="11"/>
      <c r="N64" s="9"/>
      <c r="O64" s="5">
        <f>IF(AND(((H64/'Erkrankungs- und Strukturdaten'!$C$25)*'Erkrankungs- und Strukturdaten'!$E$27)+(H64/'Erkrankungs- und Strukturdaten'!$C$26)&lt;1,((H64/'Erkrankungs- und Strukturdaten'!$C$25)*'Erkrankungs- und Strukturdaten'!$E$27)+(H64/'Erkrankungs- und Strukturdaten'!$C$26)&gt;0),1,((H64/'Erkrankungs- und Strukturdaten'!$C$25)*'Erkrankungs- und Strukturdaten'!$E$27)+(H64/'Erkrankungs- und Strukturdaten'!$C$26))</f>
        <v>335.4</v>
      </c>
      <c r="P64" s="5">
        <f>ROUNDUP(((I64/'Erkrankungs- und Strukturdaten'!$C$28)*'Erkrankungs- und Strukturdaten'!$E$30)+(I64/'Erkrankungs- und Strukturdaten'!$C$29),0)</f>
        <v>184</v>
      </c>
      <c r="Q64" s="5">
        <f>ROUNDUP((H64/'Erkrankungs- und Strukturdaten'!$C$34*'Erkrankungs- und Strukturdaten'!$E$36)+(H64/'Erkrankungs- und Strukturdaten'!$C$35),0)</f>
        <v>54</v>
      </c>
      <c r="R64" s="5">
        <f>ROUNDUP((I64*'Erkrankungs- und Strukturdaten'!$C$40/'Erkrankungs- und Strukturdaten'!$C$38*'Erkrankungs- und Strukturdaten'!$E$39)+(I64*(1-'Erkrankungs- und Strukturdaten'!$C$40)/'Erkrankungs- und Strukturdaten'!$C$37*'Erkrankungs- und Strukturdaten'!$E$39),0)</f>
        <v>24</v>
      </c>
      <c r="S64" s="19"/>
      <c r="T64" s="51"/>
      <c r="U64" s="42"/>
      <c r="V64" s="42"/>
    </row>
    <row r="65" spans="1:28" ht="14.85" hidden="1" customHeight="1" x14ac:dyDescent="0.2">
      <c r="A65" s="42">
        <v>56</v>
      </c>
      <c r="B65" s="373"/>
      <c r="C65" s="27">
        <f>Prognoseparameter!C9</f>
        <v>44342</v>
      </c>
      <c r="D65" s="6">
        <f>SUMIF('Fallzahlen (Berechnung)'!D:D,"&lt;="&amp;Prognoseergebnis!C65,'Fallzahlen (Berechnung)'!E:E)-'Fallzahlen (Berechnung)'!$E$1</f>
        <v>689025</v>
      </c>
      <c r="E65" s="119">
        <f>VLOOKUP(C65,'Fallzahlen (Berechnung)'!$D:$E,'Fallzahlen (Berechnung)'!$E$1,FALSE)</f>
        <v>595</v>
      </c>
      <c r="F65" s="26"/>
      <c r="G65" s="18">
        <v>56</v>
      </c>
      <c r="H65" s="6">
        <f>ROUND('Erkrankungs- und Strukturdaten'!$C$8*D65-IF(G65&gt;'Erkrankungs- und Strukturdaten'!$C$14,VLOOKUP(Prognoseergebnis!G65-ROUNDDOWN('Erkrankungs- und Strukturdaten'!$C$14,0),$A:$D,$D$6,FALSE)*'Erkrankungs- und Strukturdaten'!$C$8,0)
+IF(G65&gt;'Erkrankungs- und Strukturdaten'!$C$15,VLOOKUP(Prognoseergebnis!G65-ROUNDDOWN('Erkrankungs- und Strukturdaten'!$C$15,0),A:D,$D$6,FALSE)*'Erkrankungs- und Strukturdaten'!$C$9,0)
-IF(G65&gt;'Erkrankungs- und Strukturdaten'!$C$15+'Erkrankungs- und Strukturdaten'!$C$16,VLOOKUP(Prognoseergebnis!G65-ROUNDDOWN('Erkrankungs- und Strukturdaten'!$C$15-'Erkrankungs- und Strukturdaten'!$C$16,0),A:D,$D$6,FALSE)*'Erkrankungs- und Strukturdaten'!$C$9,0),0)</f>
        <v>684</v>
      </c>
      <c r="I65" s="6">
        <f>ROUND('Erkrankungs- und Strukturdaten'!$C$9*D65-IF(G65&gt;'Erkrankungs- und Strukturdaten'!$C$15,VLOOKUP(Prognoseergebnis!G65-'Erkrankungs- und Strukturdaten'!$C$15,$A:$D,$D$6,FALSE)*'Erkrankungs- und Strukturdaten'!$C$9,0),0)</f>
        <v>161</v>
      </c>
      <c r="J65" s="6">
        <f>I65*'Erkrankungs- und Strukturdaten'!$C$10/'Erkrankungs- und Strukturdaten'!$C$9</f>
        <v>78.89</v>
      </c>
      <c r="K65" s="6">
        <f>I65*'Erkrankungs- und Strukturdaten'!$C$21</f>
        <v>3220</v>
      </c>
      <c r="L65" s="11"/>
      <c r="N65" s="9"/>
      <c r="O65" s="6">
        <f>IF(AND(((H65/'Erkrankungs- und Strukturdaten'!$C$25)*'Erkrankungs- und Strukturdaten'!$E$27)+(H65/'Erkrankungs- und Strukturdaten'!$C$26)&lt;1,((H65/'Erkrankungs- und Strukturdaten'!$C$25)*'Erkrankungs- und Strukturdaten'!$E$27)+(H65/'Erkrankungs- und Strukturdaten'!$C$26)&gt;0),1,((H65/'Erkrankungs- und Strukturdaten'!$C$25)*'Erkrankungs- und Strukturdaten'!$E$27)+(H65/'Erkrankungs- und Strukturdaten'!$C$26))</f>
        <v>296.39999999999998</v>
      </c>
      <c r="P65" s="6">
        <f>ROUNDUP(((I65/'Erkrankungs- und Strukturdaten'!$C$28)*'Erkrankungs- und Strukturdaten'!$E$30)+(I65/'Erkrankungs- und Strukturdaten'!$C$29),0)</f>
        <v>175</v>
      </c>
      <c r="Q65" s="6">
        <f>ROUNDUP((H65/'Erkrankungs- und Strukturdaten'!$C$34*'Erkrankungs- und Strukturdaten'!$E$36)+(H65/'Erkrankungs- und Strukturdaten'!$C$35),0)</f>
        <v>48</v>
      </c>
      <c r="R65" s="6">
        <f>ROUNDUP((I65*'Erkrankungs- und Strukturdaten'!$C$40/'Erkrankungs- und Strukturdaten'!$C$38*'Erkrankungs- und Strukturdaten'!$E$39)+(I65*(1-'Erkrankungs- und Strukturdaten'!$C$40)/'Erkrankungs- und Strukturdaten'!$C$37*'Erkrankungs- und Strukturdaten'!$E$39),0)</f>
        <v>23</v>
      </c>
      <c r="S65" s="19"/>
      <c r="T65" s="51"/>
      <c r="U65" s="42"/>
      <c r="V65" s="42"/>
    </row>
    <row r="66" spans="1:28" ht="14.85" customHeight="1" x14ac:dyDescent="0.2">
      <c r="A66" s="42">
        <v>57</v>
      </c>
      <c r="B66" s="375" t="s">
        <v>30</v>
      </c>
      <c r="C66" s="78">
        <f>C65+1</f>
        <v>44343</v>
      </c>
      <c r="D66" s="4">
        <f>SUMIF('Fallzahlen (Berechnung)'!D:D,"&lt;="&amp;Prognoseergebnis!C66,'Fallzahlen (Berechnung)'!E:E)-'Fallzahlen (Berechnung)'!$E$1</f>
        <v>689773.52277823398</v>
      </c>
      <c r="E66" s="116">
        <f>VLOOKUP(C66,'Fallzahlen (Berechnung)'!$D:$E,'Fallzahlen (Berechnung)'!$E$1,FALSE)</f>
        <v>748.52277823399754</v>
      </c>
      <c r="F66" s="26"/>
      <c r="G66" s="18">
        <v>57</v>
      </c>
      <c r="H66" s="4">
        <f>ROUND('Erkrankungs- und Strukturdaten'!$C$8*D66-IF(G66&gt;'Erkrankungs- und Strukturdaten'!$C$14,VLOOKUP(Prognoseergebnis!G66-ROUNDDOWN('Erkrankungs- und Strukturdaten'!$C$14,0),$A:$D,$D$6,FALSE)*'Erkrankungs- und Strukturdaten'!$C$8,0)
+IF(G66&gt;'Erkrankungs- und Strukturdaten'!$C$15,VLOOKUP(Prognoseergebnis!G66-ROUNDDOWN('Erkrankungs- und Strukturdaten'!$C$15,0),A:D,$D$6,FALSE)*'Erkrankungs- und Strukturdaten'!$C$9,0)
-IF(G66&gt;'Erkrankungs- und Strukturdaten'!$C$15+'Erkrankungs- und Strukturdaten'!$C$16,VLOOKUP(Prognoseergebnis!G66-ROUNDDOWN('Erkrankungs- und Strukturdaten'!$C$15-'Erkrankungs- und Strukturdaten'!$C$16,0),A:D,$D$6,FALSE)*'Erkrankungs- und Strukturdaten'!$C$9,0),0)</f>
        <v>645</v>
      </c>
      <c r="I66" s="4">
        <f>ROUND('Erkrankungs- und Strukturdaten'!$C$9*D66-IF(G66&gt;'Erkrankungs- und Strukturdaten'!$C$15,VLOOKUP(Prognoseergebnis!G66-'Erkrankungs- und Strukturdaten'!$C$15,$A:$D,$D$6,FALSE)*'Erkrankungs- und Strukturdaten'!$C$9,0),0)</f>
        <v>153</v>
      </c>
      <c r="J66" s="4">
        <f>I66*'Erkrankungs- und Strukturdaten'!$C$10/'Erkrankungs- und Strukturdaten'!$C$9</f>
        <v>74.97</v>
      </c>
      <c r="K66" s="4">
        <f>I66*'Erkrankungs- und Strukturdaten'!$C$21</f>
        <v>3060</v>
      </c>
      <c r="L66" s="11"/>
      <c r="M66" s="82">
        <f>SUM($K$66:K66)</f>
        <v>3060</v>
      </c>
      <c r="N66" s="9"/>
      <c r="O66" s="4">
        <f>IF(AND(((H66/'Erkrankungs- und Strukturdaten'!$C$25)*'Erkrankungs- und Strukturdaten'!$E$27)+(H66/'Erkrankungs- und Strukturdaten'!$C$26)&lt;1,((H66/'Erkrankungs- und Strukturdaten'!$C$25)*'Erkrankungs- und Strukturdaten'!$E$27)+(H66/'Erkrankungs- und Strukturdaten'!$C$26)&gt;0),1,((H66/'Erkrankungs- und Strukturdaten'!$C$25)*'Erkrankungs- und Strukturdaten'!$E$27)+(H66/'Erkrankungs- und Strukturdaten'!$C$26))</f>
        <v>279.5</v>
      </c>
      <c r="P66" s="4">
        <f>ROUNDUP(((I66/'Erkrankungs- und Strukturdaten'!$C$28)*'Erkrankungs- und Strukturdaten'!$E$30)+(I66/'Erkrankungs- und Strukturdaten'!$C$29),0)</f>
        <v>167</v>
      </c>
      <c r="Q66" s="4">
        <f>ROUNDUP((H66/'Erkrankungs- und Strukturdaten'!$C$34*'Erkrankungs- und Strukturdaten'!$E$36)+(H66/'Erkrankungs- und Strukturdaten'!$C$35),0)</f>
        <v>45</v>
      </c>
      <c r="R66" s="4">
        <f>ROUNDUP((I66*'Erkrankungs- und Strukturdaten'!$C$40/'Erkrankungs- und Strukturdaten'!$C$38*'Erkrankungs- und Strukturdaten'!$E$39)+(I66*(1-'Erkrankungs- und Strukturdaten'!$C$40)/'Erkrankungs- und Strukturdaten'!$C$37*'Erkrankungs- und Strukturdaten'!$E$39),0)</f>
        <v>21</v>
      </c>
      <c r="S66" s="52"/>
      <c r="T66" s="51"/>
      <c r="U66" s="44">
        <f>((H66/'Erkrankungs- und Strukturdaten'!$C$25)*'Erkrankungs- und Strukturdaten'!$E$27*'Erkrankungs- und Strukturdaten'!$F$27)+(H66/'Erkrankungs- und Strukturdaten'!$C$26*'Erkrankungs- und Strukturdaten'!$G$27)</f>
        <v>2300.5</v>
      </c>
      <c r="V66" s="44">
        <f>(I66/'Erkrankungs- und Strukturdaten'!$C$28*'Erkrankungs- und Strukturdaten'!$E$30*'Erkrankungs- und Strukturdaten'!$F$30)+(I66/'Erkrankungs- und Strukturdaten'!$C$29*'Erkrankungs- und Strukturdaten'!$G$30)</f>
        <v>1357.7657142857142</v>
      </c>
      <c r="AB66" s="2">
        <f>C66</f>
        <v>44343</v>
      </c>
    </row>
    <row r="67" spans="1:28" ht="15" x14ac:dyDescent="0.2">
      <c r="A67" s="42">
        <v>58</v>
      </c>
      <c r="B67" s="375"/>
      <c r="C67" s="27">
        <f>C66+1</f>
        <v>44344</v>
      </c>
      <c r="D67" s="6">
        <f>SUMIF('Fallzahlen (Berechnung)'!D:D,"&lt;="&amp;Prognoseergebnis!C67,'Fallzahlen (Berechnung)'!E:E)-'Fallzahlen (Berechnung)'!$E$1</f>
        <v>690407.33766806137</v>
      </c>
      <c r="E67" s="114">
        <f>VLOOKUP(C67,'Fallzahlen (Berechnung)'!$D:$E,'Fallzahlen (Berechnung)'!$E$1,FALSE)</f>
        <v>633.81488982734743</v>
      </c>
      <c r="F67" s="26"/>
      <c r="G67" s="18">
        <v>58</v>
      </c>
      <c r="H67" s="6">
        <f>ROUND('Erkrankungs- und Strukturdaten'!$C$8*D67-IF(G67&gt;'Erkrankungs- und Strukturdaten'!$C$14,VLOOKUP(Prognoseergebnis!G67-ROUNDDOWN('Erkrankungs- und Strukturdaten'!$C$14,0),$A:$D,$D$6,FALSE)*'Erkrankungs- und Strukturdaten'!$C$8,0)
+IF(G67&gt;'Erkrankungs- und Strukturdaten'!$C$15,VLOOKUP(Prognoseergebnis!G67-ROUNDDOWN('Erkrankungs- und Strukturdaten'!$C$15,0),A:D,$D$6,FALSE)*'Erkrankungs- und Strukturdaten'!$C$9,0)
-IF(G67&gt;'Erkrankungs- und Strukturdaten'!$C$15+'Erkrankungs- und Strukturdaten'!$C$16,VLOOKUP(Prognoseergebnis!G67-ROUNDDOWN('Erkrankungs- und Strukturdaten'!$C$15-'Erkrankungs- und Strukturdaten'!$C$16,0),A:D,$D$6,FALSE)*'Erkrankungs- und Strukturdaten'!$C$9,0),0)</f>
        <v>590</v>
      </c>
      <c r="I67" s="6">
        <f>ROUND('Erkrankungs- und Strukturdaten'!$C$9*D67-IF(G67&gt;'Erkrankungs- und Strukturdaten'!$C$15,VLOOKUP(Prognoseergebnis!G67-'Erkrankungs- und Strukturdaten'!$C$15,$A:$D,$D$6,FALSE)*'Erkrankungs- und Strukturdaten'!$C$9,0),0)</f>
        <v>152</v>
      </c>
      <c r="J67" s="6">
        <f>I67*'Erkrankungs- und Strukturdaten'!$C$10/'Erkrankungs- und Strukturdaten'!$C$9</f>
        <v>74.48</v>
      </c>
      <c r="K67" s="6">
        <f>I67*'Erkrankungs- und Strukturdaten'!$C$21</f>
        <v>3040</v>
      </c>
      <c r="L67" s="12"/>
      <c r="M67" s="82">
        <f>SUM($K$66:K67)</f>
        <v>6100</v>
      </c>
      <c r="N67" s="10"/>
      <c r="O67" s="6">
        <f>IF(AND(((H67/'Erkrankungs- und Strukturdaten'!$C$25)*'Erkrankungs- und Strukturdaten'!$E$27)+(H67/'Erkrankungs- und Strukturdaten'!$C$26)&lt;1,((H67/'Erkrankungs- und Strukturdaten'!$C$25)*'Erkrankungs- und Strukturdaten'!$E$27)+(H67/'Erkrankungs- und Strukturdaten'!$C$26)&gt;0),1,((H67/'Erkrankungs- und Strukturdaten'!$C$25)*'Erkrankungs- und Strukturdaten'!$E$27)+(H67/'Erkrankungs- und Strukturdaten'!$C$26))</f>
        <v>255.66666666666666</v>
      </c>
      <c r="P67" s="6">
        <f>ROUNDUP(((I67/'Erkrankungs- und Strukturdaten'!$C$28)*'Erkrankungs- und Strukturdaten'!$E$30)+(I67/'Erkrankungs- und Strukturdaten'!$C$29),0)</f>
        <v>166</v>
      </c>
      <c r="Q67" s="6">
        <f>ROUNDUP((H67/'Erkrankungs- und Strukturdaten'!$C$34*'Erkrankungs- und Strukturdaten'!$E$36)+(H67/'Erkrankungs- und Strukturdaten'!$C$35),0)</f>
        <v>41</v>
      </c>
      <c r="R67" s="6">
        <f>ROUNDUP((I67*'Erkrankungs- und Strukturdaten'!$C$40/'Erkrankungs- und Strukturdaten'!$C$38*'Erkrankungs- und Strukturdaten'!$E$39)+(I67*(1-'Erkrankungs- und Strukturdaten'!$C$40)/'Erkrankungs- und Strukturdaten'!$C$37*'Erkrankungs- und Strukturdaten'!$E$39),0)</f>
        <v>21</v>
      </c>
      <c r="S67" s="53"/>
      <c r="T67" s="51"/>
      <c r="U67" s="44">
        <f>((H67/'Erkrankungs- und Strukturdaten'!$C$25)*'Erkrankungs- und Strukturdaten'!$E$27*'Erkrankungs- und Strukturdaten'!$F$27)+(H67/'Erkrankungs- und Strukturdaten'!$C$26*'Erkrankungs- und Strukturdaten'!$G$27)</f>
        <v>2104.333333333333</v>
      </c>
      <c r="V67" s="44">
        <f>(I67/'Erkrankungs- und Strukturdaten'!$C$28*'Erkrankungs- und Strukturdaten'!$E$30*'Erkrankungs- und Strukturdaten'!$F$30)+(I67/'Erkrankungs- und Strukturdaten'!$C$29*'Erkrankungs- und Strukturdaten'!$G$30)</f>
        <v>1348.8914285714286</v>
      </c>
      <c r="AB67" s="2">
        <f t="shared" ref="AB67:AB130" si="3">C67</f>
        <v>44344</v>
      </c>
    </row>
    <row r="68" spans="1:28" ht="15" x14ac:dyDescent="0.2">
      <c r="A68" s="42">
        <v>59</v>
      </c>
      <c r="B68" s="375"/>
      <c r="C68" s="28">
        <f t="shared" ref="C68:C130" si="4">C67+1</f>
        <v>44345</v>
      </c>
      <c r="D68" s="5">
        <f>SUMIF('Fallzahlen (Berechnung)'!D:D,"&lt;="&amp;Prognoseergebnis!C68,'Fallzahlen (Berechnung)'!E:E)-'Fallzahlen (Berechnung)'!$E$1</f>
        <v>690796.03398723167</v>
      </c>
      <c r="E68" s="115">
        <f>VLOOKUP(C68,'Fallzahlen (Berechnung)'!$D:$E,'Fallzahlen (Berechnung)'!$E$1,FALSE)</f>
        <v>388.69631917027743</v>
      </c>
      <c r="F68" s="26"/>
      <c r="G68" s="18">
        <v>59</v>
      </c>
      <c r="H68" s="5">
        <f>ROUND('Erkrankungs- und Strukturdaten'!$C$8*D68-IF(G68&gt;'Erkrankungs- und Strukturdaten'!$C$14,VLOOKUP(Prognoseergebnis!G68-ROUNDDOWN('Erkrankungs- und Strukturdaten'!$C$14,0),$A:$D,$D$6,FALSE)*'Erkrankungs- und Strukturdaten'!$C$8,0)
+IF(G68&gt;'Erkrankungs- und Strukturdaten'!$C$15,VLOOKUP(Prognoseergebnis!G68-ROUNDDOWN('Erkrankungs- und Strukturdaten'!$C$15,0),A:D,$D$6,FALSE)*'Erkrankungs- und Strukturdaten'!$C$9,0)
-IF(G68&gt;'Erkrankungs- und Strukturdaten'!$C$15+'Erkrankungs- und Strukturdaten'!$C$16,VLOOKUP(Prognoseergebnis!G68-ROUNDDOWN('Erkrankungs- und Strukturdaten'!$C$15-'Erkrankungs- und Strukturdaten'!$C$16,0),A:D,$D$6,FALSE)*'Erkrankungs- und Strukturdaten'!$C$9,0),0)</f>
        <v>559</v>
      </c>
      <c r="I68" s="5">
        <f>ROUND('Erkrankungs- und Strukturdaten'!$C$9*D68-IF(G68&gt;'Erkrankungs- und Strukturdaten'!$C$15,VLOOKUP(Prognoseergebnis!G68-'Erkrankungs- und Strukturdaten'!$C$15,$A:$D,$D$6,FALSE)*'Erkrankungs- und Strukturdaten'!$C$9,0),0)</f>
        <v>144</v>
      </c>
      <c r="J68" s="5">
        <f>I68*'Erkrankungs- und Strukturdaten'!$C$10/'Erkrankungs- und Strukturdaten'!$C$9</f>
        <v>70.56</v>
      </c>
      <c r="K68" s="5">
        <f>I68*'Erkrankungs- und Strukturdaten'!$C$21</f>
        <v>2880</v>
      </c>
      <c r="L68" s="11"/>
      <c r="M68" s="82">
        <f>SUM($K$66:K68)</f>
        <v>8980</v>
      </c>
      <c r="N68" s="9"/>
      <c r="O68" s="5">
        <f>IF(AND(((H68/'Erkrankungs- und Strukturdaten'!$C$25)*'Erkrankungs- und Strukturdaten'!$E$27)+(H68/'Erkrankungs- und Strukturdaten'!$C$26)&lt;1,((H68/'Erkrankungs- und Strukturdaten'!$C$25)*'Erkrankungs- und Strukturdaten'!$E$27)+(H68/'Erkrankungs- und Strukturdaten'!$C$26)&gt;0),1,((H68/'Erkrankungs- und Strukturdaten'!$C$25)*'Erkrankungs- und Strukturdaten'!$E$27)+(H68/'Erkrankungs- und Strukturdaten'!$C$26))</f>
        <v>242.23333333333335</v>
      </c>
      <c r="P68" s="5">
        <f>ROUNDUP(((I68/'Erkrankungs- und Strukturdaten'!$C$28)*'Erkrankungs- und Strukturdaten'!$E$30)+(I68/'Erkrankungs- und Strukturdaten'!$C$29),0)</f>
        <v>157</v>
      </c>
      <c r="Q68" s="5">
        <f>ROUNDUP((H68/'Erkrankungs- und Strukturdaten'!$C$34*'Erkrankungs- und Strukturdaten'!$E$36)+(H68/'Erkrankungs- und Strukturdaten'!$C$35),0)</f>
        <v>39</v>
      </c>
      <c r="R68" s="5">
        <f>ROUNDUP((I68*'Erkrankungs- und Strukturdaten'!$C$40/'Erkrankungs- und Strukturdaten'!$C$38*'Erkrankungs- und Strukturdaten'!$E$39)+(I68*(1-'Erkrankungs- und Strukturdaten'!$C$40)/'Erkrankungs- und Strukturdaten'!$C$37*'Erkrankungs- und Strukturdaten'!$E$39),0)</f>
        <v>20</v>
      </c>
      <c r="S68" s="52"/>
      <c r="T68" s="51"/>
      <c r="U68" s="44">
        <f>((H68/'Erkrankungs- und Strukturdaten'!$C$25)*'Erkrankungs- und Strukturdaten'!$E$27*'Erkrankungs- und Strukturdaten'!$F$27)+(H68/'Erkrankungs- und Strukturdaten'!$C$26*'Erkrankungs- und Strukturdaten'!$G$27)</f>
        <v>1993.7666666666669</v>
      </c>
      <c r="V68" s="44">
        <f>(I68/'Erkrankungs- und Strukturdaten'!$C$28*'Erkrankungs- und Strukturdaten'!$E$30*'Erkrankungs- und Strukturdaten'!$F$30)+(I68/'Erkrankungs- und Strukturdaten'!$C$29*'Erkrankungs- und Strukturdaten'!$G$30)</f>
        <v>1277.8971428571431</v>
      </c>
      <c r="AB68" s="2">
        <f t="shared" si="3"/>
        <v>44345</v>
      </c>
    </row>
    <row r="69" spans="1:28" ht="15" x14ac:dyDescent="0.2">
      <c r="A69" s="42">
        <v>60</v>
      </c>
      <c r="B69" s="375"/>
      <c r="C69" s="27">
        <f t="shared" si="4"/>
        <v>44346</v>
      </c>
      <c r="D69" s="6">
        <f>SUMIF('Fallzahlen (Berechnung)'!D:D,"&lt;="&amp;Prognoseergebnis!C69,'Fallzahlen (Berechnung)'!E:E)-'Fallzahlen (Berechnung)'!$E$1</f>
        <v>691058.28454862605</v>
      </c>
      <c r="E69" s="114">
        <f>VLOOKUP(C69,'Fallzahlen (Berechnung)'!$D:$E,'Fallzahlen (Berechnung)'!$E$1,FALSE)</f>
        <v>262.2505613943984</v>
      </c>
      <c r="F69" s="26"/>
      <c r="G69" s="18">
        <v>60</v>
      </c>
      <c r="H69" s="6">
        <f>ROUND('Erkrankungs- und Strukturdaten'!$C$8*D69-IF(G69&gt;'Erkrankungs- und Strukturdaten'!$C$14,VLOOKUP(Prognoseergebnis!G69-ROUNDDOWN('Erkrankungs- und Strukturdaten'!$C$14,0),$A:$D,$D$6,FALSE)*'Erkrankungs- und Strukturdaten'!$C$8,0)
+IF(G69&gt;'Erkrankungs- und Strukturdaten'!$C$15,VLOOKUP(Prognoseergebnis!G69-ROUNDDOWN('Erkrankungs- und Strukturdaten'!$C$15,0),A:D,$D$6,FALSE)*'Erkrankungs- und Strukturdaten'!$C$9,0)
-IF(G69&gt;'Erkrankungs- und Strukturdaten'!$C$15+'Erkrankungs- und Strukturdaten'!$C$16,VLOOKUP(Prognoseergebnis!G69-ROUNDDOWN('Erkrankungs- und Strukturdaten'!$C$15-'Erkrankungs- und Strukturdaten'!$C$16,0),A:D,$D$6,FALSE)*'Erkrankungs- und Strukturdaten'!$C$9,0),0)</f>
        <v>528</v>
      </c>
      <c r="I69" s="6">
        <f>ROUND('Erkrankungs- und Strukturdaten'!$C$9*D69-IF(G69&gt;'Erkrankungs- und Strukturdaten'!$C$15,VLOOKUP(Prognoseergebnis!G69-'Erkrankungs- und Strukturdaten'!$C$15,$A:$D,$D$6,FALSE)*'Erkrankungs- und Strukturdaten'!$C$9,0),0)</f>
        <v>138</v>
      </c>
      <c r="J69" s="6">
        <f>I69*'Erkrankungs- und Strukturdaten'!$C$10/'Erkrankungs- und Strukturdaten'!$C$9</f>
        <v>67.62</v>
      </c>
      <c r="K69" s="6">
        <f>I69*'Erkrankungs- und Strukturdaten'!$C$21</f>
        <v>2760</v>
      </c>
      <c r="L69" s="11"/>
      <c r="M69" s="82">
        <f>SUM($K$66:K69)</f>
        <v>11740</v>
      </c>
      <c r="N69" s="9"/>
      <c r="O69" s="6">
        <f>IF(AND(((H69/'Erkrankungs- und Strukturdaten'!$C$25)*'Erkrankungs- und Strukturdaten'!$E$27)+(H69/'Erkrankungs- und Strukturdaten'!$C$26)&lt;1,((H69/'Erkrankungs- und Strukturdaten'!$C$25)*'Erkrankungs- und Strukturdaten'!$E$27)+(H69/'Erkrankungs- und Strukturdaten'!$C$26)&gt;0),1,((H69/'Erkrankungs- und Strukturdaten'!$C$25)*'Erkrankungs- und Strukturdaten'!$E$27)+(H69/'Erkrankungs- und Strukturdaten'!$C$26))</f>
        <v>228.8</v>
      </c>
      <c r="P69" s="6">
        <f>ROUNDUP(((I69/'Erkrankungs- und Strukturdaten'!$C$28)*'Erkrankungs- und Strukturdaten'!$E$30)+(I69/'Erkrankungs- und Strukturdaten'!$C$29),0)</f>
        <v>150</v>
      </c>
      <c r="Q69" s="6">
        <f>ROUNDUP((H69/'Erkrankungs- und Strukturdaten'!$C$34*'Erkrankungs- und Strukturdaten'!$E$36)+(H69/'Erkrankungs- und Strukturdaten'!$C$35),0)</f>
        <v>37</v>
      </c>
      <c r="R69" s="6">
        <f>ROUNDUP((I69*'Erkrankungs- und Strukturdaten'!$C$40/'Erkrankungs- und Strukturdaten'!$C$38*'Erkrankungs- und Strukturdaten'!$E$39)+(I69*(1-'Erkrankungs- und Strukturdaten'!$C$40)/'Erkrankungs- und Strukturdaten'!$C$37*'Erkrankungs- und Strukturdaten'!$E$39),0)</f>
        <v>19</v>
      </c>
      <c r="S69" s="52"/>
      <c r="T69" s="51"/>
      <c r="U69" s="44">
        <f>((H69/'Erkrankungs- und Strukturdaten'!$C$25)*'Erkrankungs- und Strukturdaten'!$E$27*'Erkrankungs- und Strukturdaten'!$F$27)+(H69/'Erkrankungs- und Strukturdaten'!$C$26*'Erkrankungs- und Strukturdaten'!$G$27)</f>
        <v>1883.2</v>
      </c>
      <c r="V69" s="44">
        <f>(I69/'Erkrankungs- und Strukturdaten'!$C$28*'Erkrankungs- und Strukturdaten'!$E$30*'Erkrankungs- und Strukturdaten'!$F$30)+(I69/'Erkrankungs- und Strukturdaten'!$C$29*'Erkrankungs- und Strukturdaten'!$G$30)</f>
        <v>1224.6514285714286</v>
      </c>
      <c r="AB69" s="2">
        <f t="shared" si="3"/>
        <v>44346</v>
      </c>
    </row>
    <row r="70" spans="1:28" ht="15" x14ac:dyDescent="0.2">
      <c r="A70" s="42">
        <v>61</v>
      </c>
      <c r="B70" s="375"/>
      <c r="C70" s="28">
        <f t="shared" si="4"/>
        <v>44347</v>
      </c>
      <c r="D70" s="5">
        <f>SUMIF('Fallzahlen (Berechnung)'!D:D,"&lt;="&amp;Prognoseergebnis!C70,'Fallzahlen (Berechnung)'!E:E)-'Fallzahlen (Berechnung)'!$E$1</f>
        <v>691616.90027204179</v>
      </c>
      <c r="E70" s="115">
        <f>VLOOKUP(C70,'Fallzahlen (Berechnung)'!$D:$E,'Fallzahlen (Berechnung)'!$E$1,FALSE)</f>
        <v>558.61572341577357</v>
      </c>
      <c r="F70" s="26"/>
      <c r="G70" s="18">
        <v>61</v>
      </c>
      <c r="H70" s="5">
        <f>ROUND('Erkrankungs- und Strukturdaten'!$C$8*D70-IF(G70&gt;'Erkrankungs- und Strukturdaten'!$C$14,VLOOKUP(Prognoseergebnis!G70-ROUNDDOWN('Erkrankungs- und Strukturdaten'!$C$14,0),$A:$D,$D$6,FALSE)*'Erkrankungs- und Strukturdaten'!$C$8,0)
+IF(G70&gt;'Erkrankungs- und Strukturdaten'!$C$15,VLOOKUP(Prognoseergebnis!G70-ROUNDDOWN('Erkrankungs- und Strukturdaten'!$C$15,0),A:D,$D$6,FALSE)*'Erkrankungs- und Strukturdaten'!$C$9,0)
-IF(G70&gt;'Erkrankungs- und Strukturdaten'!$C$15+'Erkrankungs- und Strukturdaten'!$C$16,VLOOKUP(Prognoseergebnis!G70-ROUNDDOWN('Erkrankungs- und Strukturdaten'!$C$15-'Erkrankungs- und Strukturdaten'!$C$16,0),A:D,$D$6,FALSE)*'Erkrankungs- und Strukturdaten'!$C$9,0),0)</f>
        <v>526</v>
      </c>
      <c r="I70" s="5">
        <f>ROUND('Erkrankungs- und Strukturdaten'!$C$9*D70-IF(G70&gt;'Erkrankungs- und Strukturdaten'!$C$15,VLOOKUP(Prognoseergebnis!G70-'Erkrankungs- und Strukturdaten'!$C$15,$A:$D,$D$6,FALSE)*'Erkrankungs- und Strukturdaten'!$C$9,0),0)</f>
        <v>137</v>
      </c>
      <c r="J70" s="5">
        <f>I70*'Erkrankungs- und Strukturdaten'!$C$10/'Erkrankungs- und Strukturdaten'!$C$9</f>
        <v>67.13</v>
      </c>
      <c r="K70" s="5">
        <f>I70*'Erkrankungs- und Strukturdaten'!$C$21</f>
        <v>2740</v>
      </c>
      <c r="L70" s="11"/>
      <c r="M70" s="82">
        <f>SUM($K$66:K70)</f>
        <v>14480</v>
      </c>
      <c r="N70" s="9"/>
      <c r="O70" s="5">
        <f>IF(AND(((H70/'Erkrankungs- und Strukturdaten'!$C$25)*'Erkrankungs- und Strukturdaten'!$E$27)+(H70/'Erkrankungs- und Strukturdaten'!$C$26)&lt;1,((H70/'Erkrankungs- und Strukturdaten'!$C$25)*'Erkrankungs- und Strukturdaten'!$E$27)+(H70/'Erkrankungs- und Strukturdaten'!$C$26)&gt;0),1,((H70/'Erkrankungs- und Strukturdaten'!$C$25)*'Erkrankungs- und Strukturdaten'!$E$27)+(H70/'Erkrankungs- und Strukturdaten'!$C$26))</f>
        <v>227.93333333333334</v>
      </c>
      <c r="P70" s="5">
        <f>ROUNDUP(((I70/'Erkrankungs- und Strukturdaten'!$C$28)*'Erkrankungs- und Strukturdaten'!$E$30)+(I70/'Erkrankungs- und Strukturdaten'!$C$29),0)</f>
        <v>149</v>
      </c>
      <c r="Q70" s="5">
        <f>ROUNDUP((H70/'Erkrankungs- und Strukturdaten'!$C$34*'Erkrankungs- und Strukturdaten'!$E$36)+(H70/'Erkrankungs- und Strukturdaten'!$C$35),0)</f>
        <v>37</v>
      </c>
      <c r="R70" s="5">
        <f>ROUNDUP((I70*'Erkrankungs- und Strukturdaten'!$C$40/'Erkrankungs- und Strukturdaten'!$C$38*'Erkrankungs- und Strukturdaten'!$E$39)+(I70*(1-'Erkrankungs- und Strukturdaten'!$C$40)/'Erkrankungs- und Strukturdaten'!$C$37*'Erkrankungs- und Strukturdaten'!$E$39),0)</f>
        <v>19</v>
      </c>
      <c r="S70" s="52"/>
      <c r="T70" s="51"/>
      <c r="U70" s="44">
        <f>((H70/'Erkrankungs- und Strukturdaten'!$C$25)*'Erkrankungs- und Strukturdaten'!$E$27*'Erkrankungs- und Strukturdaten'!$F$27)+(H70/'Erkrankungs- und Strukturdaten'!$C$26*'Erkrankungs- und Strukturdaten'!$G$27)</f>
        <v>1876.0666666666668</v>
      </c>
      <c r="V70" s="44">
        <f>(I70/'Erkrankungs- und Strukturdaten'!$C$28*'Erkrankungs- und Strukturdaten'!$E$30*'Erkrankungs- und Strukturdaten'!$F$30)+(I70/'Erkrankungs- und Strukturdaten'!$C$29*'Erkrankungs- und Strukturdaten'!$G$30)</f>
        <v>1215.7771428571427</v>
      </c>
      <c r="AB70" s="2">
        <f t="shared" si="3"/>
        <v>44347</v>
      </c>
    </row>
    <row r="71" spans="1:28" ht="15" x14ac:dyDescent="0.2">
      <c r="A71" s="42">
        <v>62</v>
      </c>
      <c r="B71" s="375"/>
      <c r="C71" s="27">
        <f t="shared" si="4"/>
        <v>44348</v>
      </c>
      <c r="D71" s="6">
        <f>SUMIF('Fallzahlen (Berechnung)'!D:D,"&lt;="&amp;Prognoseergebnis!C71,'Fallzahlen (Berechnung)'!E:E)-'Fallzahlen (Berechnung)'!$E$1</f>
        <v>692166.30387161928</v>
      </c>
      <c r="E71" s="114">
        <f>VLOOKUP(C71,'Fallzahlen (Berechnung)'!$D:$E,'Fallzahlen (Berechnung)'!$E$1,FALSE)</f>
        <v>549.40359957744874</v>
      </c>
      <c r="F71" s="26"/>
      <c r="G71" s="18">
        <v>62</v>
      </c>
      <c r="H71" s="6">
        <f>ROUND('Erkrankungs- und Strukturdaten'!$C$8*D71-IF(G71&gt;'Erkrankungs- und Strukturdaten'!$C$14,VLOOKUP(Prognoseergebnis!G71-ROUNDDOWN('Erkrankungs- und Strukturdaten'!$C$14,0),$A:$D,$D$6,FALSE)*'Erkrankungs- und Strukturdaten'!$C$8,0)
+IF(G71&gt;'Erkrankungs- und Strukturdaten'!$C$15,VLOOKUP(Prognoseergebnis!G71-ROUNDDOWN('Erkrankungs- und Strukturdaten'!$C$15,0),A:D,$D$6,FALSE)*'Erkrankungs- und Strukturdaten'!$C$9,0)
-IF(G71&gt;'Erkrankungs- und Strukturdaten'!$C$15+'Erkrankungs- und Strukturdaten'!$C$16,VLOOKUP(Prognoseergebnis!G71-ROUNDDOWN('Erkrankungs- und Strukturdaten'!$C$15-'Erkrankungs- und Strukturdaten'!$C$16,0),A:D,$D$6,FALSE)*'Erkrankungs- und Strukturdaten'!$C$9,0),0)</f>
        <v>460</v>
      </c>
      <c r="I71" s="6">
        <f>ROUND('Erkrankungs- und Strukturdaten'!$C$9*D71-IF(G71&gt;'Erkrankungs- und Strukturdaten'!$C$15,VLOOKUP(Prognoseergebnis!G71-'Erkrankungs- und Strukturdaten'!$C$15,$A:$D,$D$6,FALSE)*'Erkrankungs- und Strukturdaten'!$C$9,0),0)</f>
        <v>124</v>
      </c>
      <c r="J71" s="6">
        <f>I71*'Erkrankungs- und Strukturdaten'!$C$10/'Erkrankungs- und Strukturdaten'!$C$9</f>
        <v>60.760000000000005</v>
      </c>
      <c r="K71" s="6">
        <f>I71*'Erkrankungs- und Strukturdaten'!$C$21</f>
        <v>2480</v>
      </c>
      <c r="L71" s="11"/>
      <c r="M71" s="82">
        <f>SUM($K$66:K71)</f>
        <v>16960</v>
      </c>
      <c r="N71" s="9"/>
      <c r="O71" s="6">
        <f>IF(AND(((H71/'Erkrankungs- und Strukturdaten'!$C$25)*'Erkrankungs- und Strukturdaten'!$E$27)+(H71/'Erkrankungs- und Strukturdaten'!$C$26)&lt;1,((H71/'Erkrankungs- und Strukturdaten'!$C$25)*'Erkrankungs- und Strukturdaten'!$E$27)+(H71/'Erkrankungs- und Strukturdaten'!$C$26)&gt;0),1,((H71/'Erkrankungs- und Strukturdaten'!$C$25)*'Erkrankungs- und Strukturdaten'!$E$27)+(H71/'Erkrankungs- und Strukturdaten'!$C$26))</f>
        <v>199.33333333333334</v>
      </c>
      <c r="P71" s="6">
        <f>ROUNDUP(((I71/'Erkrankungs- und Strukturdaten'!$C$28)*'Erkrankungs- und Strukturdaten'!$E$30)+(I71/'Erkrankungs- und Strukturdaten'!$C$29),0)</f>
        <v>135</v>
      </c>
      <c r="Q71" s="6">
        <f>ROUNDUP((H71/'Erkrankungs- und Strukturdaten'!$C$34*'Erkrankungs- und Strukturdaten'!$E$36)+(H71/'Erkrankungs- und Strukturdaten'!$C$35),0)</f>
        <v>32</v>
      </c>
      <c r="R71" s="6">
        <f>ROUNDUP((I71*'Erkrankungs- und Strukturdaten'!$C$40/'Erkrankungs- und Strukturdaten'!$C$38*'Erkrankungs- und Strukturdaten'!$E$39)+(I71*(1-'Erkrankungs- und Strukturdaten'!$C$40)/'Erkrankungs- und Strukturdaten'!$C$37*'Erkrankungs- und Strukturdaten'!$E$39),0)</f>
        <v>17</v>
      </c>
      <c r="S71" s="52"/>
      <c r="T71" s="51"/>
      <c r="U71" s="44">
        <f>((H71/'Erkrankungs- und Strukturdaten'!$C$25)*'Erkrankungs- und Strukturdaten'!$E$27*'Erkrankungs- und Strukturdaten'!$F$27)+(H71/'Erkrankungs- und Strukturdaten'!$C$26*'Erkrankungs- und Strukturdaten'!$G$27)</f>
        <v>1640.6666666666667</v>
      </c>
      <c r="V71" s="44">
        <f>(I71/'Erkrankungs- und Strukturdaten'!$C$28*'Erkrankungs- und Strukturdaten'!$E$30*'Erkrankungs- und Strukturdaten'!$F$30)+(I71/'Erkrankungs- und Strukturdaten'!$C$29*'Erkrankungs- und Strukturdaten'!$G$30)</f>
        <v>1100.4114285714286</v>
      </c>
      <c r="AB71" s="2">
        <f t="shared" si="3"/>
        <v>44348</v>
      </c>
    </row>
    <row r="72" spans="1:28" ht="15" x14ac:dyDescent="0.2">
      <c r="A72" s="42">
        <v>63</v>
      </c>
      <c r="B72" s="376"/>
      <c r="C72" s="29">
        <f t="shared" si="4"/>
        <v>44349</v>
      </c>
      <c r="D72" s="30">
        <f>SUMIF('Fallzahlen (Berechnung)'!D:D,"&lt;="&amp;Prognoseergebnis!C72,'Fallzahlen (Berechnung)'!E:E)-'Fallzahlen (Berechnung)'!$E$1</f>
        <v>692709.8072442126</v>
      </c>
      <c r="E72" s="117">
        <f>VLOOKUP(C72,'Fallzahlen (Berechnung)'!$D:$E,'Fallzahlen (Berechnung)'!$E$1,FALSE)</f>
        <v>543.50337259329194</v>
      </c>
      <c r="F72" s="26"/>
      <c r="G72" s="18">
        <v>63</v>
      </c>
      <c r="H72" s="30">
        <f>ROUND('Erkrankungs- und Strukturdaten'!$C$8*D72-IF(G72&gt;'Erkrankungs- und Strukturdaten'!$C$14,VLOOKUP(Prognoseergebnis!G72-ROUNDDOWN('Erkrankungs- und Strukturdaten'!$C$14,0),$A:$D,$D$6,FALSE)*'Erkrankungs- und Strukturdaten'!$C$8,0)
+IF(G72&gt;'Erkrankungs- und Strukturdaten'!$C$15,VLOOKUP(Prognoseergebnis!G72-ROUNDDOWN('Erkrankungs- und Strukturdaten'!$C$15,0),A:D,$D$6,FALSE)*'Erkrankungs- und Strukturdaten'!$C$9,0)
-IF(G72&gt;'Erkrankungs- und Strukturdaten'!$C$15+'Erkrankungs- und Strukturdaten'!$C$16,VLOOKUP(Prognoseergebnis!G72-ROUNDDOWN('Erkrankungs- und Strukturdaten'!$C$15-'Erkrankungs- und Strukturdaten'!$C$16,0),A:D,$D$6,FALSE)*'Erkrankungs- und Strukturdaten'!$C$9,0),0)</f>
        <v>461</v>
      </c>
      <c r="I72" s="30">
        <f>ROUND('Erkrankungs- und Strukturdaten'!$C$9*D72-IF(G72&gt;'Erkrankungs- und Strukturdaten'!$C$15,VLOOKUP(Prognoseergebnis!G72-'Erkrankungs- und Strukturdaten'!$C$15,$A:$D,$D$6,FALSE)*'Erkrankungs- und Strukturdaten'!$C$9,0),0)</f>
        <v>115</v>
      </c>
      <c r="J72" s="30">
        <f>I72*'Erkrankungs- und Strukturdaten'!$C$10/'Erkrankungs- und Strukturdaten'!$C$9</f>
        <v>56.35</v>
      </c>
      <c r="K72" s="30">
        <f>I72*'Erkrankungs- und Strukturdaten'!$C$21</f>
        <v>2300</v>
      </c>
      <c r="L72" s="11"/>
      <c r="M72" s="82">
        <f>SUM($K$66:K72)</f>
        <v>19260</v>
      </c>
      <c r="N72" s="9"/>
      <c r="O72" s="30">
        <f>IF(AND(((H72/'Erkrankungs- und Strukturdaten'!$C$25)*'Erkrankungs- und Strukturdaten'!$E$27)+(H72/'Erkrankungs- und Strukturdaten'!$C$26)&lt;1,((H72/'Erkrankungs- und Strukturdaten'!$C$25)*'Erkrankungs- und Strukturdaten'!$E$27)+(H72/'Erkrankungs- und Strukturdaten'!$C$26)&gt;0),1,((H72/'Erkrankungs- und Strukturdaten'!$C$25)*'Erkrankungs- und Strukturdaten'!$E$27)+(H72/'Erkrankungs- und Strukturdaten'!$C$26))</f>
        <v>199.76666666666665</v>
      </c>
      <c r="P72" s="30">
        <f>ROUNDUP(((I72/'Erkrankungs- und Strukturdaten'!$C$28)*'Erkrankungs- und Strukturdaten'!$E$30)+(I72/'Erkrankungs- und Strukturdaten'!$C$29),0)</f>
        <v>125</v>
      </c>
      <c r="Q72" s="30">
        <f>ROUNDUP((H72/'Erkrankungs- und Strukturdaten'!$C$34*'Erkrankungs- und Strukturdaten'!$E$36)+(H72/'Erkrankungs- und Strukturdaten'!$C$35),0)</f>
        <v>33</v>
      </c>
      <c r="R72" s="30">
        <f>ROUNDUP((I72*'Erkrankungs- und Strukturdaten'!$C$40/'Erkrankungs- und Strukturdaten'!$C$38*'Erkrankungs- und Strukturdaten'!$E$39)+(I72*(1-'Erkrankungs- und Strukturdaten'!$C$40)/'Erkrankungs- und Strukturdaten'!$C$37*'Erkrankungs- und Strukturdaten'!$E$39),0)</f>
        <v>16</v>
      </c>
      <c r="S72" s="52"/>
      <c r="T72" s="51"/>
      <c r="U72" s="44">
        <f>((H72/'Erkrankungs- und Strukturdaten'!$C$25)*'Erkrankungs- und Strukturdaten'!$E$27*'Erkrankungs- und Strukturdaten'!$F$27)+(H72/'Erkrankungs- und Strukturdaten'!$C$26*'Erkrankungs- und Strukturdaten'!$G$27)</f>
        <v>1644.2333333333333</v>
      </c>
      <c r="V72" s="44">
        <f>(I72/'Erkrankungs- und Strukturdaten'!$C$28*'Erkrankungs- und Strukturdaten'!$E$30*'Erkrankungs- und Strukturdaten'!$F$30)+(I72/'Erkrankungs- und Strukturdaten'!$C$29*'Erkrankungs- und Strukturdaten'!$G$30)</f>
        <v>1020.5428571428571</v>
      </c>
      <c r="AB72" s="2">
        <f t="shared" si="3"/>
        <v>44349</v>
      </c>
    </row>
    <row r="73" spans="1:28" ht="14.85" customHeight="1" x14ac:dyDescent="0.2">
      <c r="A73" s="42">
        <v>64</v>
      </c>
      <c r="B73" s="373" t="s">
        <v>31</v>
      </c>
      <c r="C73" s="76">
        <f t="shared" si="4"/>
        <v>44350</v>
      </c>
      <c r="D73" s="77">
        <f>SUMIF('Fallzahlen (Berechnung)'!D:D,"&lt;="&amp;Prognoseergebnis!C73,'Fallzahlen (Berechnung)'!E:E)-'Fallzahlen (Berechnung)'!$E$1</f>
        <v>693160.12890030968</v>
      </c>
      <c r="E73" s="118">
        <f>VLOOKUP(C73,'Fallzahlen (Berechnung)'!$D:$E,'Fallzahlen (Berechnung)'!$E$1,FALSE)</f>
        <v>450.32165609705726</v>
      </c>
      <c r="F73" s="26"/>
      <c r="G73" s="18">
        <v>64</v>
      </c>
      <c r="H73" s="77">
        <f>ROUND('Erkrankungs- und Strukturdaten'!$C$8*D73-IF(G73&gt;'Erkrankungs- und Strukturdaten'!$C$14,VLOOKUP(Prognoseergebnis!G73-ROUNDDOWN('Erkrankungs- und Strukturdaten'!$C$14,0),$A:$D,$D$6,FALSE)*'Erkrankungs- und Strukturdaten'!$C$8,0)
+IF(G73&gt;'Erkrankungs- und Strukturdaten'!$C$15,VLOOKUP(Prognoseergebnis!G73-ROUNDDOWN('Erkrankungs- und Strukturdaten'!$C$15,0),A:D,$D$6,FALSE)*'Erkrankungs- und Strukturdaten'!$C$9,0)
-IF(G73&gt;'Erkrankungs- und Strukturdaten'!$C$15+'Erkrankungs- und Strukturdaten'!$C$16,VLOOKUP(Prognoseergebnis!G73-ROUNDDOWN('Erkrankungs- und Strukturdaten'!$C$15-'Erkrankungs- und Strukturdaten'!$C$16,0),A:D,$D$6,FALSE)*'Erkrankungs- und Strukturdaten'!$C$9,0),0)</f>
        <v>420</v>
      </c>
      <c r="I73" s="77">
        <f>ROUND('Erkrankungs- und Strukturdaten'!$C$9*D73-IF(G73&gt;'Erkrankungs- und Strukturdaten'!$C$15,VLOOKUP(Prognoseergebnis!G73-'Erkrankungs- und Strukturdaten'!$C$15,$A:$D,$D$6,FALSE)*'Erkrankungs- und Strukturdaten'!$C$9,0),0)</f>
        <v>107</v>
      </c>
      <c r="J73" s="77">
        <f>I73*'Erkrankungs- und Strukturdaten'!$C$10/'Erkrankungs- und Strukturdaten'!$C$9</f>
        <v>52.43</v>
      </c>
      <c r="K73" s="77">
        <f>I73*'Erkrankungs- und Strukturdaten'!$C$21</f>
        <v>2140</v>
      </c>
      <c r="L73" s="11"/>
      <c r="M73" s="82">
        <f>SUM($K$66:K73)</f>
        <v>21400</v>
      </c>
      <c r="N73" s="9"/>
      <c r="O73" s="77">
        <f>IF(AND(((H73/'Erkrankungs- und Strukturdaten'!$C$25)*'Erkrankungs- und Strukturdaten'!$E$27)+(H73/'Erkrankungs- und Strukturdaten'!$C$26)&lt;1,((H73/'Erkrankungs- und Strukturdaten'!$C$25)*'Erkrankungs- und Strukturdaten'!$E$27)+(H73/'Erkrankungs- und Strukturdaten'!$C$26)&gt;0),1,((H73/'Erkrankungs- und Strukturdaten'!$C$25)*'Erkrankungs- und Strukturdaten'!$E$27)+(H73/'Erkrankungs- und Strukturdaten'!$C$26))</f>
        <v>182</v>
      </c>
      <c r="P73" s="77">
        <f>ROUNDUP(((I73/'Erkrankungs- und Strukturdaten'!$C$28)*'Erkrankungs- und Strukturdaten'!$E$30)+(I73/'Erkrankungs- und Strukturdaten'!$C$29),0)</f>
        <v>117</v>
      </c>
      <c r="Q73" s="77">
        <f>ROUNDUP((H73/'Erkrankungs- und Strukturdaten'!$C$34*'Erkrankungs- und Strukturdaten'!$E$36)+(H73/'Erkrankungs- und Strukturdaten'!$C$35),0)</f>
        <v>30</v>
      </c>
      <c r="R73" s="77">
        <f>ROUNDUP((I73*'Erkrankungs- und Strukturdaten'!$C$40/'Erkrankungs- und Strukturdaten'!$C$38*'Erkrankungs- und Strukturdaten'!$E$39)+(I73*(1-'Erkrankungs- und Strukturdaten'!$C$40)/'Erkrankungs- und Strukturdaten'!$C$37*'Erkrankungs- und Strukturdaten'!$E$39),0)</f>
        <v>15</v>
      </c>
      <c r="S73" s="52"/>
      <c r="T73" s="51"/>
      <c r="U73" s="44">
        <f>((H73/'Erkrankungs- und Strukturdaten'!$C$25)*'Erkrankungs- und Strukturdaten'!$E$27*'Erkrankungs- und Strukturdaten'!$F$27)+(H73/'Erkrankungs- und Strukturdaten'!$C$26*'Erkrankungs- und Strukturdaten'!$G$27)</f>
        <v>1498</v>
      </c>
      <c r="V73" s="44">
        <f>(I73/'Erkrankungs- und Strukturdaten'!$C$28*'Erkrankungs- und Strukturdaten'!$E$30*'Erkrankungs- und Strukturdaten'!$F$30)+(I73/'Erkrankungs- und Strukturdaten'!$C$29*'Erkrankungs- und Strukturdaten'!$G$30)</f>
        <v>949.54857142857145</v>
      </c>
      <c r="AB73" s="2">
        <f t="shared" si="3"/>
        <v>44350</v>
      </c>
    </row>
    <row r="74" spans="1:28" ht="15" x14ac:dyDescent="0.2">
      <c r="A74" s="42">
        <v>65</v>
      </c>
      <c r="B74" s="373"/>
      <c r="C74" s="28">
        <f t="shared" si="4"/>
        <v>44351</v>
      </c>
      <c r="D74" s="5">
        <f>SUMIF('Fallzahlen (Berechnung)'!D:D,"&lt;="&amp;Prognoseergebnis!C74,'Fallzahlen (Berechnung)'!E:E)-'Fallzahlen (Berechnung)'!$E$1</f>
        <v>693629.04730736755</v>
      </c>
      <c r="E74" s="115">
        <f>VLOOKUP(C74,'Fallzahlen (Berechnung)'!$D:$E,'Fallzahlen (Berechnung)'!$E$1,FALSE)</f>
        <v>468.9184070578404</v>
      </c>
      <c r="F74" s="26"/>
      <c r="G74" s="18">
        <v>65</v>
      </c>
      <c r="H74" s="5">
        <f>ROUND('Erkrankungs- und Strukturdaten'!$C$8*D74-IF(G74&gt;'Erkrankungs- und Strukturdaten'!$C$14,VLOOKUP(Prognoseergebnis!G74-ROUNDDOWN('Erkrankungs- und Strukturdaten'!$C$14,0),$A:$D,$D$6,FALSE)*'Erkrankungs- und Strukturdaten'!$C$8,0)
+IF(G74&gt;'Erkrankungs- und Strukturdaten'!$C$15,VLOOKUP(Prognoseergebnis!G74-ROUNDDOWN('Erkrankungs- und Strukturdaten'!$C$15,0),A:D,$D$6,FALSE)*'Erkrankungs- und Strukturdaten'!$C$9,0)
-IF(G74&gt;'Erkrankungs- und Strukturdaten'!$C$15+'Erkrankungs- und Strukturdaten'!$C$16,VLOOKUP(Prognoseergebnis!G74-ROUNDDOWN('Erkrankungs- und Strukturdaten'!$C$15-'Erkrankungs- und Strukturdaten'!$C$16,0),A:D,$D$6,FALSE)*'Erkrankungs- und Strukturdaten'!$C$9,0),0)</f>
        <v>402</v>
      </c>
      <c r="I74" s="5">
        <f>ROUND('Erkrankungs- und Strukturdaten'!$C$9*D74-IF(G74&gt;'Erkrankungs- und Strukturdaten'!$C$15,VLOOKUP(Prognoseergebnis!G74-'Erkrankungs- und Strukturdaten'!$C$15,$A:$D,$D$6,FALSE)*'Erkrankungs- und Strukturdaten'!$C$9,0),0)</f>
        <v>100</v>
      </c>
      <c r="J74" s="5">
        <f>I74*'Erkrankungs- und Strukturdaten'!$C$10/'Erkrankungs- und Strukturdaten'!$C$9</f>
        <v>49</v>
      </c>
      <c r="K74" s="5">
        <f>I74*'Erkrankungs- und Strukturdaten'!$C$21</f>
        <v>2000</v>
      </c>
      <c r="L74" s="11"/>
      <c r="M74" s="82">
        <f>SUM($K$66:K74)</f>
        <v>23400</v>
      </c>
      <c r="N74" s="9"/>
      <c r="O74" s="5">
        <f>IF(AND(((H74/'Erkrankungs- und Strukturdaten'!$C$25)*'Erkrankungs- und Strukturdaten'!$E$27)+(H74/'Erkrankungs- und Strukturdaten'!$C$26)&lt;1,((H74/'Erkrankungs- und Strukturdaten'!$C$25)*'Erkrankungs- und Strukturdaten'!$E$27)+(H74/'Erkrankungs- und Strukturdaten'!$C$26)&gt;0),1,((H74/'Erkrankungs- und Strukturdaten'!$C$25)*'Erkrankungs- und Strukturdaten'!$E$27)+(H74/'Erkrankungs- und Strukturdaten'!$C$26))</f>
        <v>174.2</v>
      </c>
      <c r="P74" s="5">
        <f>ROUNDUP(((I74/'Erkrankungs- und Strukturdaten'!$C$28)*'Erkrankungs- und Strukturdaten'!$E$30)+(I74/'Erkrankungs- und Strukturdaten'!$C$29),0)</f>
        <v>109</v>
      </c>
      <c r="Q74" s="5">
        <f>ROUNDUP((H74/'Erkrankungs- und Strukturdaten'!$C$34*'Erkrankungs- und Strukturdaten'!$E$36)+(H74/'Erkrankungs- und Strukturdaten'!$C$35),0)</f>
        <v>28</v>
      </c>
      <c r="R74" s="5">
        <f>ROUNDUP((I74*'Erkrankungs- und Strukturdaten'!$C$40/'Erkrankungs- und Strukturdaten'!$C$38*'Erkrankungs- und Strukturdaten'!$E$39)+(I74*(1-'Erkrankungs- und Strukturdaten'!$C$40)/'Erkrankungs- und Strukturdaten'!$C$37*'Erkrankungs- und Strukturdaten'!$E$39),0)</f>
        <v>14</v>
      </c>
      <c r="S74" s="52"/>
      <c r="T74" s="51"/>
      <c r="U74" s="44">
        <f>((H74/'Erkrankungs- und Strukturdaten'!$C$25)*'Erkrankungs- und Strukturdaten'!$E$27*'Erkrankungs- und Strukturdaten'!$F$27)+(H74/'Erkrankungs- und Strukturdaten'!$C$26*'Erkrankungs- und Strukturdaten'!$G$27)</f>
        <v>1433.8</v>
      </c>
      <c r="V74" s="44">
        <f>(I74/'Erkrankungs- und Strukturdaten'!$C$28*'Erkrankungs- und Strukturdaten'!$E$30*'Erkrankungs- und Strukturdaten'!$F$30)+(I74/'Erkrankungs- und Strukturdaten'!$C$29*'Erkrankungs- und Strukturdaten'!$G$30)</f>
        <v>887.42857142857144</v>
      </c>
      <c r="AB74" s="2">
        <f t="shared" si="3"/>
        <v>44351</v>
      </c>
    </row>
    <row r="75" spans="1:28" ht="15" x14ac:dyDescent="0.2">
      <c r="A75" s="42">
        <v>66</v>
      </c>
      <c r="B75" s="373"/>
      <c r="C75" s="27">
        <f t="shared" si="4"/>
        <v>44352</v>
      </c>
      <c r="D75" s="6">
        <f>SUMIF('Fallzahlen (Berechnung)'!D:D,"&lt;="&amp;Prognoseergebnis!C75,'Fallzahlen (Berechnung)'!E:E)-'Fallzahlen (Berechnung)'!$E$1</f>
        <v>693911.14252275811</v>
      </c>
      <c r="E75" s="114">
        <f>VLOOKUP(C75,'Fallzahlen (Berechnung)'!$D:$E,'Fallzahlen (Berechnung)'!$E$1,FALSE)</f>
        <v>282.0952153905173</v>
      </c>
      <c r="F75" s="26"/>
      <c r="G75" s="18">
        <v>66</v>
      </c>
      <c r="H75" s="6">
        <f>ROUND('Erkrankungs- und Strukturdaten'!$C$8*D75-IF(G75&gt;'Erkrankungs- und Strukturdaten'!$C$14,VLOOKUP(Prognoseergebnis!G75-ROUNDDOWN('Erkrankungs- und Strukturdaten'!$C$14,0),$A:$D,$D$6,FALSE)*'Erkrankungs- und Strukturdaten'!$C$8,0)
+IF(G75&gt;'Erkrankungs- und Strukturdaten'!$C$15,VLOOKUP(Prognoseergebnis!G75-ROUNDDOWN('Erkrankungs- und Strukturdaten'!$C$15,0),A:D,$D$6,FALSE)*'Erkrankungs- und Strukturdaten'!$C$9,0)
-IF(G75&gt;'Erkrankungs- und Strukturdaten'!$C$15+'Erkrankungs- und Strukturdaten'!$C$16,VLOOKUP(Prognoseergebnis!G75-ROUNDDOWN('Erkrankungs- und Strukturdaten'!$C$15-'Erkrankungs- und Strukturdaten'!$C$16,0),A:D,$D$6,FALSE)*'Erkrankungs- und Strukturdaten'!$C$9,0),0)</f>
        <v>390</v>
      </c>
      <c r="I75" s="6">
        <f>ROUND('Erkrankungs- und Strukturdaten'!$C$9*D75-IF(G75&gt;'Erkrankungs- und Strukturdaten'!$C$15,VLOOKUP(Prognoseergebnis!G75-'Erkrankungs- und Strukturdaten'!$C$15,$A:$D,$D$6,FALSE)*'Erkrankungs- und Strukturdaten'!$C$9,0),0)</f>
        <v>93</v>
      </c>
      <c r="J75" s="6">
        <f>I75*'Erkrankungs- und Strukturdaten'!$C$10/'Erkrankungs- und Strukturdaten'!$C$9</f>
        <v>45.57</v>
      </c>
      <c r="K75" s="6">
        <f>I75*'Erkrankungs- und Strukturdaten'!$C$21</f>
        <v>1860</v>
      </c>
      <c r="L75" s="11"/>
      <c r="M75" s="82">
        <f>SUM($K$66:K75)</f>
        <v>25260</v>
      </c>
      <c r="N75" s="9"/>
      <c r="O75" s="6">
        <f>IF(AND(((H75/'Erkrankungs- und Strukturdaten'!$C$25)*'Erkrankungs- und Strukturdaten'!$E$27)+(H75/'Erkrankungs- und Strukturdaten'!$C$26)&lt;1,((H75/'Erkrankungs- und Strukturdaten'!$C$25)*'Erkrankungs- und Strukturdaten'!$E$27)+(H75/'Erkrankungs- und Strukturdaten'!$C$26)&gt;0),1,((H75/'Erkrankungs- und Strukturdaten'!$C$25)*'Erkrankungs- und Strukturdaten'!$E$27)+(H75/'Erkrankungs- und Strukturdaten'!$C$26))</f>
        <v>169</v>
      </c>
      <c r="P75" s="6">
        <f>ROUNDUP(((I75/'Erkrankungs- und Strukturdaten'!$C$28)*'Erkrankungs- und Strukturdaten'!$E$30)+(I75/'Erkrankungs- und Strukturdaten'!$C$29),0)</f>
        <v>101</v>
      </c>
      <c r="Q75" s="6">
        <f>ROUNDUP((H75/'Erkrankungs- und Strukturdaten'!$C$34*'Erkrankungs- und Strukturdaten'!$E$36)+(H75/'Erkrankungs- und Strukturdaten'!$C$35),0)</f>
        <v>28</v>
      </c>
      <c r="R75" s="6">
        <f>ROUNDUP((I75*'Erkrankungs- und Strukturdaten'!$C$40/'Erkrankungs- und Strukturdaten'!$C$38*'Erkrankungs- und Strukturdaten'!$E$39)+(I75*(1-'Erkrankungs- und Strukturdaten'!$C$40)/'Erkrankungs- und Strukturdaten'!$C$37*'Erkrankungs- und Strukturdaten'!$E$39),0)</f>
        <v>13</v>
      </c>
      <c r="S75" s="52"/>
      <c r="T75" s="51"/>
      <c r="U75" s="44">
        <f>((H75/'Erkrankungs- und Strukturdaten'!$C$25)*'Erkrankungs- und Strukturdaten'!$E$27*'Erkrankungs- und Strukturdaten'!$F$27)+(H75/'Erkrankungs- und Strukturdaten'!$C$26*'Erkrankungs- und Strukturdaten'!$G$27)</f>
        <v>1391</v>
      </c>
      <c r="V75" s="44">
        <f>(I75/'Erkrankungs- und Strukturdaten'!$C$28*'Erkrankungs- und Strukturdaten'!$E$30*'Erkrankungs- und Strukturdaten'!$F$30)+(I75/'Erkrankungs- und Strukturdaten'!$C$29*'Erkrankungs- und Strukturdaten'!$G$30)</f>
        <v>825.30857142857155</v>
      </c>
      <c r="AB75" s="2">
        <f t="shared" si="3"/>
        <v>44352</v>
      </c>
    </row>
    <row r="76" spans="1:28" ht="15" x14ac:dyDescent="0.2">
      <c r="A76" s="42">
        <v>67</v>
      </c>
      <c r="B76" s="373"/>
      <c r="C76" s="28">
        <f t="shared" si="4"/>
        <v>44353</v>
      </c>
      <c r="D76" s="5">
        <f>SUMIF('Fallzahlen (Berechnung)'!D:D,"&lt;="&amp;Prognoseergebnis!C76,'Fallzahlen (Berechnung)'!E:E)-'Fallzahlen (Berechnung)'!$E$1</f>
        <v>694108.4595936063</v>
      </c>
      <c r="E76" s="115">
        <f>VLOOKUP(C76,'Fallzahlen (Berechnung)'!$D:$E,'Fallzahlen (Berechnung)'!$E$1,FALSE)</f>
        <v>197.31707084814343</v>
      </c>
      <c r="F76" s="26"/>
      <c r="G76" s="18">
        <v>67</v>
      </c>
      <c r="H76" s="5">
        <f>ROUND('Erkrankungs- und Strukturdaten'!$C$8*D76-IF(G76&gt;'Erkrankungs- und Strukturdaten'!$C$14,VLOOKUP(Prognoseergebnis!G76-ROUNDDOWN('Erkrankungs- und Strukturdaten'!$C$14,0),$A:$D,$D$6,FALSE)*'Erkrankungs- und Strukturdaten'!$C$8,0)
+IF(G76&gt;'Erkrankungs- und Strukturdaten'!$C$15,VLOOKUP(Prognoseergebnis!G76-ROUNDDOWN('Erkrankungs- und Strukturdaten'!$C$15,0),A:D,$D$6,FALSE)*'Erkrankungs- und Strukturdaten'!$C$9,0)
-IF(G76&gt;'Erkrankungs- und Strukturdaten'!$C$15+'Erkrankungs- und Strukturdaten'!$C$16,VLOOKUP(Prognoseergebnis!G76-ROUNDDOWN('Erkrankungs- und Strukturdaten'!$C$15-'Erkrankungs- und Strukturdaten'!$C$16,0),A:D,$D$6,FALSE)*'Erkrankungs- und Strukturdaten'!$C$9,0),0)</f>
        <v>381</v>
      </c>
      <c r="I76" s="5">
        <f>ROUND('Erkrankungs- und Strukturdaten'!$C$9*D76-IF(G76&gt;'Erkrankungs- und Strukturdaten'!$C$15,VLOOKUP(Prognoseergebnis!G76-'Erkrankungs- und Strukturdaten'!$C$15,$A:$D,$D$6,FALSE)*'Erkrankungs- und Strukturdaten'!$C$9,0),0)</f>
        <v>88</v>
      </c>
      <c r="J76" s="5">
        <f>I76*'Erkrankungs- und Strukturdaten'!$C$10/'Erkrankungs- und Strukturdaten'!$C$9</f>
        <v>43.12</v>
      </c>
      <c r="K76" s="5">
        <f>I76*'Erkrankungs- und Strukturdaten'!$C$21</f>
        <v>1760</v>
      </c>
      <c r="L76" s="11"/>
      <c r="M76" s="82">
        <f>SUM($K$66:K76)</f>
        <v>27020</v>
      </c>
      <c r="N76" s="9"/>
      <c r="O76" s="5">
        <f>IF(AND(((H76/'Erkrankungs- und Strukturdaten'!$C$25)*'Erkrankungs- und Strukturdaten'!$E$27)+(H76/'Erkrankungs- und Strukturdaten'!$C$26)&lt;1,((H76/'Erkrankungs- und Strukturdaten'!$C$25)*'Erkrankungs- und Strukturdaten'!$E$27)+(H76/'Erkrankungs- und Strukturdaten'!$C$26)&gt;0),1,((H76/'Erkrankungs- und Strukturdaten'!$C$25)*'Erkrankungs- und Strukturdaten'!$E$27)+(H76/'Erkrankungs- und Strukturdaten'!$C$26))</f>
        <v>165.1</v>
      </c>
      <c r="P76" s="5">
        <f>ROUNDUP(((I76/'Erkrankungs- und Strukturdaten'!$C$28)*'Erkrankungs- und Strukturdaten'!$E$30)+(I76/'Erkrankungs- und Strukturdaten'!$C$29),0)</f>
        <v>96</v>
      </c>
      <c r="Q76" s="5">
        <f>ROUNDUP((H76/'Erkrankungs- und Strukturdaten'!$C$34*'Erkrankungs- und Strukturdaten'!$E$36)+(H76/'Erkrankungs- und Strukturdaten'!$C$35),0)</f>
        <v>27</v>
      </c>
      <c r="R76" s="5">
        <f>ROUNDUP((I76*'Erkrankungs- und Strukturdaten'!$C$40/'Erkrankungs- und Strukturdaten'!$C$38*'Erkrankungs- und Strukturdaten'!$E$39)+(I76*(1-'Erkrankungs- und Strukturdaten'!$C$40)/'Erkrankungs- und Strukturdaten'!$C$37*'Erkrankungs- und Strukturdaten'!$E$39),0)</f>
        <v>13</v>
      </c>
      <c r="S76" s="52"/>
      <c r="T76" s="51"/>
      <c r="U76" s="44">
        <f>((H76/'Erkrankungs- und Strukturdaten'!$C$25)*'Erkrankungs- und Strukturdaten'!$E$27*'Erkrankungs- und Strukturdaten'!$F$27)+(H76/'Erkrankungs- und Strukturdaten'!$C$26*'Erkrankungs- und Strukturdaten'!$G$27)</f>
        <v>1358.9</v>
      </c>
      <c r="V76" s="44">
        <f>(I76/'Erkrankungs- und Strukturdaten'!$C$28*'Erkrankungs- und Strukturdaten'!$E$30*'Erkrankungs- und Strukturdaten'!$F$30)+(I76/'Erkrankungs- und Strukturdaten'!$C$29*'Erkrankungs- und Strukturdaten'!$G$30)</f>
        <v>780.93714285714293</v>
      </c>
      <c r="AB76" s="2">
        <f t="shared" si="3"/>
        <v>44353</v>
      </c>
    </row>
    <row r="77" spans="1:28" ht="15" x14ac:dyDescent="0.2">
      <c r="A77" s="42">
        <v>68</v>
      </c>
      <c r="B77" s="373"/>
      <c r="C77" s="27">
        <f t="shared" si="4"/>
        <v>44354</v>
      </c>
      <c r="D77" s="6">
        <f>SUMIF('Fallzahlen (Berechnung)'!D:D,"&lt;="&amp;Prognoseergebnis!C77,'Fallzahlen (Berechnung)'!E:E)-'Fallzahlen (Berechnung)'!$E$1</f>
        <v>694490.26475710783</v>
      </c>
      <c r="E77" s="114">
        <f>VLOOKUP(C77,'Fallzahlen (Berechnung)'!$D:$E,'Fallzahlen (Berechnung)'!$E$1,FALSE)</f>
        <v>381.80516350150612</v>
      </c>
      <c r="F77" s="26"/>
      <c r="G77" s="18">
        <v>68</v>
      </c>
      <c r="H77" s="6">
        <f>ROUND('Erkrankungs- und Strukturdaten'!$C$8*D77-IF(G77&gt;'Erkrankungs- und Strukturdaten'!$C$14,VLOOKUP(Prognoseergebnis!G77-ROUNDDOWN('Erkrankungs- und Strukturdaten'!$C$14,0),$A:$D,$D$6,FALSE)*'Erkrankungs- und Strukturdaten'!$C$8,0)
+IF(G77&gt;'Erkrankungs- und Strukturdaten'!$C$15,VLOOKUP(Prognoseergebnis!G77-ROUNDDOWN('Erkrankungs- und Strukturdaten'!$C$15,0),A:D,$D$6,FALSE)*'Erkrankungs- und Strukturdaten'!$C$9,0)
-IF(G77&gt;'Erkrankungs- und Strukturdaten'!$C$15+'Erkrankungs- und Strukturdaten'!$C$16,VLOOKUP(Prognoseergebnis!G77-ROUNDDOWN('Erkrankungs- und Strukturdaten'!$C$15-'Erkrankungs- und Strukturdaten'!$C$16,0),A:D,$D$6,FALSE)*'Erkrankungs- und Strukturdaten'!$C$9,0),0)</f>
        <v>357</v>
      </c>
      <c r="I77" s="6">
        <f>ROUND('Erkrankungs- und Strukturdaten'!$C$9*D77-IF(G77&gt;'Erkrankungs- und Strukturdaten'!$C$15,VLOOKUP(Prognoseergebnis!G77-'Erkrankungs- und Strukturdaten'!$C$15,$A:$D,$D$6,FALSE)*'Erkrankungs- und Strukturdaten'!$C$9,0),0)</f>
        <v>87</v>
      </c>
      <c r="J77" s="6">
        <f>I77*'Erkrankungs- und Strukturdaten'!$C$10/'Erkrankungs- und Strukturdaten'!$C$9</f>
        <v>42.629999999999995</v>
      </c>
      <c r="K77" s="6">
        <f>I77*'Erkrankungs- und Strukturdaten'!$C$21</f>
        <v>1740</v>
      </c>
      <c r="L77" s="11"/>
      <c r="M77" s="82">
        <f>SUM($K$66:K77)</f>
        <v>28760</v>
      </c>
      <c r="N77" s="9"/>
      <c r="O77" s="6">
        <f>IF(AND(((H77/'Erkrankungs- und Strukturdaten'!$C$25)*'Erkrankungs- und Strukturdaten'!$E$27)+(H77/'Erkrankungs- und Strukturdaten'!$C$26)&lt;1,((H77/'Erkrankungs- und Strukturdaten'!$C$25)*'Erkrankungs- und Strukturdaten'!$E$27)+(H77/'Erkrankungs- und Strukturdaten'!$C$26)&gt;0),1,((H77/'Erkrankungs- und Strukturdaten'!$C$25)*'Erkrankungs- und Strukturdaten'!$E$27)+(H77/'Erkrankungs- und Strukturdaten'!$C$26))</f>
        <v>154.69999999999999</v>
      </c>
      <c r="P77" s="6">
        <f>ROUNDUP(((I77/'Erkrankungs- und Strukturdaten'!$C$28)*'Erkrankungs- und Strukturdaten'!$E$30)+(I77/'Erkrankungs- und Strukturdaten'!$C$29),0)</f>
        <v>95</v>
      </c>
      <c r="Q77" s="6">
        <f>ROUNDUP((H77/'Erkrankungs- und Strukturdaten'!$C$34*'Erkrankungs- und Strukturdaten'!$E$36)+(H77/'Erkrankungs- und Strukturdaten'!$C$35),0)</f>
        <v>25</v>
      </c>
      <c r="R77" s="6">
        <f>ROUNDUP((I77*'Erkrankungs- und Strukturdaten'!$C$40/'Erkrankungs- und Strukturdaten'!$C$38*'Erkrankungs- und Strukturdaten'!$E$39)+(I77*(1-'Erkrankungs- und Strukturdaten'!$C$40)/'Erkrankungs- und Strukturdaten'!$C$37*'Erkrankungs- und Strukturdaten'!$E$39),0)</f>
        <v>12</v>
      </c>
      <c r="S77" s="52"/>
      <c r="T77" s="51"/>
      <c r="U77" s="44">
        <f>((H77/'Erkrankungs- und Strukturdaten'!$C$25)*'Erkrankungs- und Strukturdaten'!$E$27*'Erkrankungs- und Strukturdaten'!$F$27)+(H77/'Erkrankungs- und Strukturdaten'!$C$26*'Erkrankungs- und Strukturdaten'!$G$27)</f>
        <v>1273.3000000000002</v>
      </c>
      <c r="V77" s="44">
        <f>(I77/'Erkrankungs- und Strukturdaten'!$C$28*'Erkrankungs- und Strukturdaten'!$E$30*'Erkrankungs- und Strukturdaten'!$F$30)+(I77/'Erkrankungs- und Strukturdaten'!$C$29*'Erkrankungs- und Strukturdaten'!$G$30)</f>
        <v>772.06285714285707</v>
      </c>
      <c r="AB77" s="2">
        <f t="shared" si="3"/>
        <v>44354</v>
      </c>
    </row>
    <row r="78" spans="1:28" ht="15" x14ac:dyDescent="0.2">
      <c r="A78" s="42">
        <v>69</v>
      </c>
      <c r="B78" s="373"/>
      <c r="C78" s="28">
        <f t="shared" si="4"/>
        <v>44355</v>
      </c>
      <c r="D78" s="5">
        <f>SUMIF('Fallzahlen (Berechnung)'!D:D,"&lt;="&amp;Prognoseergebnis!C78,'Fallzahlen (Berechnung)'!E:E)-'Fallzahlen (Berechnung)'!$E$1</f>
        <v>694822.15960312856</v>
      </c>
      <c r="E78" s="115">
        <f>VLOOKUP(C78,'Fallzahlen (Berechnung)'!$D:$E,'Fallzahlen (Berechnung)'!$E$1,FALSE)</f>
        <v>331.894846020709</v>
      </c>
      <c r="F78" s="26"/>
      <c r="G78" s="18">
        <v>69</v>
      </c>
      <c r="H78" s="5">
        <f>ROUND('Erkrankungs- und Strukturdaten'!$C$8*D78-IF(G78&gt;'Erkrankungs- und Strukturdaten'!$C$14,VLOOKUP(Prognoseergebnis!G78-ROUNDDOWN('Erkrankungs- und Strukturdaten'!$C$14,0),$A:$D,$D$6,FALSE)*'Erkrankungs- und Strukturdaten'!$C$8,0)
+IF(G78&gt;'Erkrankungs- und Strukturdaten'!$C$15,VLOOKUP(Prognoseergebnis!G78-ROUNDDOWN('Erkrankungs- und Strukturdaten'!$C$15,0),A:D,$D$6,FALSE)*'Erkrankungs- und Strukturdaten'!$C$9,0)
-IF(G78&gt;'Erkrankungs- und Strukturdaten'!$C$15+'Erkrankungs- und Strukturdaten'!$C$16,VLOOKUP(Prognoseergebnis!G78-ROUNDDOWN('Erkrankungs- und Strukturdaten'!$C$15-'Erkrankungs- und Strukturdaten'!$C$16,0),A:D,$D$6,FALSE)*'Erkrankungs- und Strukturdaten'!$C$9,0),0)</f>
        <v>330</v>
      </c>
      <c r="I78" s="5">
        <f>ROUND('Erkrankungs- und Strukturdaten'!$C$9*D78-IF(G78&gt;'Erkrankungs- und Strukturdaten'!$C$15,VLOOKUP(Prognoseergebnis!G78-'Erkrankungs- und Strukturdaten'!$C$15,$A:$D,$D$6,FALSE)*'Erkrankungs- und Strukturdaten'!$C$9,0),0)</f>
        <v>84</v>
      </c>
      <c r="J78" s="5">
        <f>I78*'Erkrankungs- und Strukturdaten'!$C$10/'Erkrankungs- und Strukturdaten'!$C$9</f>
        <v>41.160000000000004</v>
      </c>
      <c r="K78" s="5">
        <f>I78*'Erkrankungs- und Strukturdaten'!$C$21</f>
        <v>1680</v>
      </c>
      <c r="L78" s="11"/>
      <c r="M78" s="82">
        <f>SUM($K$66:K78)</f>
        <v>30440</v>
      </c>
      <c r="N78" s="9"/>
      <c r="O78" s="5">
        <f>IF(AND(((H78/'Erkrankungs- und Strukturdaten'!$C$25)*'Erkrankungs- und Strukturdaten'!$E$27)+(H78/'Erkrankungs- und Strukturdaten'!$C$26)&lt;1,((H78/'Erkrankungs- und Strukturdaten'!$C$25)*'Erkrankungs- und Strukturdaten'!$E$27)+(H78/'Erkrankungs- und Strukturdaten'!$C$26)&gt;0),1,((H78/'Erkrankungs- und Strukturdaten'!$C$25)*'Erkrankungs- und Strukturdaten'!$E$27)+(H78/'Erkrankungs- und Strukturdaten'!$C$26))</f>
        <v>143</v>
      </c>
      <c r="P78" s="5">
        <f>ROUNDUP(((I78/'Erkrankungs- und Strukturdaten'!$C$28)*'Erkrankungs- und Strukturdaten'!$E$30)+(I78/'Erkrankungs- und Strukturdaten'!$C$29),0)</f>
        <v>92</v>
      </c>
      <c r="Q78" s="5">
        <f>ROUNDUP((H78/'Erkrankungs- und Strukturdaten'!$C$34*'Erkrankungs- und Strukturdaten'!$E$36)+(H78/'Erkrankungs- und Strukturdaten'!$C$35),0)</f>
        <v>23</v>
      </c>
      <c r="R78" s="5">
        <f>ROUNDUP((I78*'Erkrankungs- und Strukturdaten'!$C$40/'Erkrankungs- und Strukturdaten'!$C$38*'Erkrankungs- und Strukturdaten'!$E$39)+(I78*(1-'Erkrankungs- und Strukturdaten'!$C$40)/'Erkrankungs- und Strukturdaten'!$C$37*'Erkrankungs- und Strukturdaten'!$E$39),0)</f>
        <v>12</v>
      </c>
      <c r="S78" s="52"/>
      <c r="T78" s="51"/>
      <c r="U78" s="44">
        <f>((H78/'Erkrankungs- und Strukturdaten'!$C$25)*'Erkrankungs- und Strukturdaten'!$E$27*'Erkrankungs- und Strukturdaten'!$F$27)+(H78/'Erkrankungs- und Strukturdaten'!$C$26*'Erkrankungs- und Strukturdaten'!$G$27)</f>
        <v>1177</v>
      </c>
      <c r="V78" s="44">
        <f>(I78/'Erkrankungs- und Strukturdaten'!$C$28*'Erkrankungs- und Strukturdaten'!$E$30*'Erkrankungs- und Strukturdaten'!$F$30)+(I78/'Erkrankungs- und Strukturdaten'!$C$29*'Erkrankungs- und Strukturdaten'!$G$30)</f>
        <v>745.44</v>
      </c>
      <c r="AB78" s="2">
        <f t="shared" si="3"/>
        <v>44355</v>
      </c>
    </row>
    <row r="79" spans="1:28" ht="15" x14ac:dyDescent="0.2">
      <c r="A79" s="42">
        <v>70</v>
      </c>
      <c r="B79" s="373"/>
      <c r="C79" s="73">
        <f t="shared" si="4"/>
        <v>44356</v>
      </c>
      <c r="D79" s="74">
        <f>SUMIF('Fallzahlen (Berechnung)'!D:D,"&lt;="&amp;Prognoseergebnis!C79,'Fallzahlen (Berechnung)'!E:E)-'Fallzahlen (Berechnung)'!$E$1</f>
        <v>695211.35255282896</v>
      </c>
      <c r="E79" s="119">
        <f>VLOOKUP(C79,'Fallzahlen (Berechnung)'!$D:$E,'Fallzahlen (Berechnung)'!$E$1,FALSE)</f>
        <v>389.19294970039965</v>
      </c>
      <c r="F79" s="26"/>
      <c r="G79" s="18">
        <v>70</v>
      </c>
      <c r="H79" s="74">
        <f>ROUND('Erkrankungs- und Strukturdaten'!$C$8*D79-IF(G79&gt;'Erkrankungs- und Strukturdaten'!$C$14,VLOOKUP(Prognoseergebnis!G79-ROUNDDOWN('Erkrankungs- und Strukturdaten'!$C$14,0),$A:$D,$D$6,FALSE)*'Erkrankungs- und Strukturdaten'!$C$8,0)
+IF(G79&gt;'Erkrankungs- und Strukturdaten'!$C$15,VLOOKUP(Prognoseergebnis!G79-ROUNDDOWN('Erkrankungs- und Strukturdaten'!$C$15,0),A:D,$D$6,FALSE)*'Erkrankungs- und Strukturdaten'!$C$9,0)
-IF(G79&gt;'Erkrankungs- und Strukturdaten'!$C$15+'Erkrankungs- und Strukturdaten'!$C$16,VLOOKUP(Prognoseergebnis!G79-ROUNDDOWN('Erkrankungs- und Strukturdaten'!$C$15-'Erkrankungs- und Strukturdaten'!$C$16,0),A:D,$D$6,FALSE)*'Erkrankungs- und Strukturdaten'!$C$9,0),0)</f>
        <v>315</v>
      </c>
      <c r="I79" s="74">
        <f>ROUND('Erkrankungs- und Strukturdaten'!$C$9*D79-IF(G79&gt;'Erkrankungs- und Strukturdaten'!$C$15,VLOOKUP(Prognoseergebnis!G79-'Erkrankungs- und Strukturdaten'!$C$15,$A:$D,$D$6,FALSE)*'Erkrankungs- und Strukturdaten'!$C$9,0),0)</f>
        <v>76</v>
      </c>
      <c r="J79" s="74">
        <f>I79*'Erkrankungs- und Strukturdaten'!$C$10/'Erkrankungs- und Strukturdaten'!$C$9</f>
        <v>37.24</v>
      </c>
      <c r="K79" s="74">
        <f>I79*'Erkrankungs- und Strukturdaten'!$C$21</f>
        <v>1520</v>
      </c>
      <c r="L79" s="11"/>
      <c r="M79" s="82">
        <f>SUM($K$66:K79)</f>
        <v>31960</v>
      </c>
      <c r="N79" s="9"/>
      <c r="O79" s="74">
        <f>IF(AND(((H79/'Erkrankungs- und Strukturdaten'!$C$25)*'Erkrankungs- und Strukturdaten'!$E$27)+(H79/'Erkrankungs- und Strukturdaten'!$C$26)&lt;1,((H79/'Erkrankungs- und Strukturdaten'!$C$25)*'Erkrankungs- und Strukturdaten'!$E$27)+(H79/'Erkrankungs- und Strukturdaten'!$C$26)&gt;0),1,((H79/'Erkrankungs- und Strukturdaten'!$C$25)*'Erkrankungs- und Strukturdaten'!$E$27)+(H79/'Erkrankungs- und Strukturdaten'!$C$26))</f>
        <v>136.5</v>
      </c>
      <c r="P79" s="74">
        <f>ROUNDUP(((I79/'Erkrankungs- und Strukturdaten'!$C$28)*'Erkrankungs- und Strukturdaten'!$E$30)+(I79/'Erkrankungs- und Strukturdaten'!$C$29),0)</f>
        <v>83</v>
      </c>
      <c r="Q79" s="74">
        <f>ROUNDUP((H79/'Erkrankungs- und Strukturdaten'!$C$34*'Erkrankungs- und Strukturdaten'!$E$36)+(H79/'Erkrankungs- und Strukturdaten'!$C$35),0)</f>
        <v>22</v>
      </c>
      <c r="R79" s="74">
        <f>ROUNDUP((I79*'Erkrankungs- und Strukturdaten'!$C$40/'Erkrankungs- und Strukturdaten'!$C$38*'Erkrankungs- und Strukturdaten'!$E$39)+(I79*(1-'Erkrankungs- und Strukturdaten'!$C$40)/'Erkrankungs- und Strukturdaten'!$C$37*'Erkrankungs- und Strukturdaten'!$E$39),0)</f>
        <v>11</v>
      </c>
      <c r="S79" s="52"/>
      <c r="T79" s="51"/>
      <c r="U79" s="44">
        <f>((H79/'Erkrankungs- und Strukturdaten'!$C$25)*'Erkrankungs- und Strukturdaten'!$E$27*'Erkrankungs- und Strukturdaten'!$F$27)+(H79/'Erkrankungs- und Strukturdaten'!$C$26*'Erkrankungs- und Strukturdaten'!$G$27)</f>
        <v>1123.5</v>
      </c>
      <c r="V79" s="44">
        <f>(I79/'Erkrankungs- und Strukturdaten'!$C$28*'Erkrankungs- und Strukturdaten'!$E$30*'Erkrankungs- und Strukturdaten'!$F$30)+(I79/'Erkrankungs- und Strukturdaten'!$C$29*'Erkrankungs- und Strukturdaten'!$G$30)</f>
        <v>674.4457142857143</v>
      </c>
      <c r="AB79" s="2">
        <f t="shared" si="3"/>
        <v>44356</v>
      </c>
    </row>
    <row r="80" spans="1:28" ht="14.85" customHeight="1" x14ac:dyDescent="0.2">
      <c r="A80" s="42">
        <v>71</v>
      </c>
      <c r="B80" s="375" t="s">
        <v>32</v>
      </c>
      <c r="C80" s="78">
        <f t="shared" si="4"/>
        <v>44357</v>
      </c>
      <c r="D80" s="4">
        <f>SUMIF('Fallzahlen (Berechnung)'!D:D,"&lt;="&amp;Prognoseergebnis!C80,'Fallzahlen (Berechnung)'!E:E)-'Fallzahlen (Berechnung)'!$E$1</f>
        <v>695501.84428911482</v>
      </c>
      <c r="E80" s="116">
        <f>VLOOKUP(C80,'Fallzahlen (Berechnung)'!$D:$E,'Fallzahlen (Berechnung)'!$E$1,FALSE)</f>
        <v>290.49173628590046</v>
      </c>
      <c r="F80" s="26"/>
      <c r="G80" s="18">
        <v>71</v>
      </c>
      <c r="H80" s="4">
        <f>ROUND('Erkrankungs- und Strukturdaten'!$C$8*D80-IF(G80&gt;'Erkrankungs- und Strukturdaten'!$C$14,VLOOKUP(Prognoseergebnis!G80-ROUNDDOWN('Erkrankungs- und Strukturdaten'!$C$14,0),$A:$D,$D$6,FALSE)*'Erkrankungs- und Strukturdaten'!$C$8,0)
+IF(G80&gt;'Erkrankungs- und Strukturdaten'!$C$15,VLOOKUP(Prognoseergebnis!G80-ROUNDDOWN('Erkrankungs- und Strukturdaten'!$C$15,0),A:D,$D$6,FALSE)*'Erkrankungs- und Strukturdaten'!$C$9,0)
-IF(G80&gt;'Erkrankungs- und Strukturdaten'!$C$15+'Erkrankungs- und Strukturdaten'!$C$16,VLOOKUP(Prognoseergebnis!G80-ROUNDDOWN('Erkrankungs- und Strukturdaten'!$C$15-'Erkrankungs- und Strukturdaten'!$C$16,0),A:D,$D$6,FALSE)*'Erkrankungs- und Strukturdaten'!$C$9,0),0)</f>
        <v>293</v>
      </c>
      <c r="I80" s="4">
        <f>ROUND('Erkrankungs- und Strukturdaten'!$C$9*D80-IF(G80&gt;'Erkrankungs- und Strukturdaten'!$C$15,VLOOKUP(Prognoseergebnis!G80-'Erkrankungs- und Strukturdaten'!$C$15,$A:$D,$D$6,FALSE)*'Erkrankungs- und Strukturdaten'!$C$9,0),0)</f>
        <v>73</v>
      </c>
      <c r="J80" s="4">
        <f>I80*'Erkrankungs- und Strukturdaten'!$C$10/'Erkrankungs- und Strukturdaten'!$C$9</f>
        <v>35.769999999999996</v>
      </c>
      <c r="K80" s="4">
        <f>I80*'Erkrankungs- und Strukturdaten'!$C$21</f>
        <v>1460</v>
      </c>
      <c r="L80" s="11"/>
      <c r="M80" s="82">
        <f>SUM($K$66:K80)</f>
        <v>33420</v>
      </c>
      <c r="N80" s="9"/>
      <c r="O80" s="4">
        <f>IF(AND(((H80/'Erkrankungs- und Strukturdaten'!$C$25)*'Erkrankungs- und Strukturdaten'!$E$27)+(H80/'Erkrankungs- und Strukturdaten'!$C$26)&lt;1,((H80/'Erkrankungs- und Strukturdaten'!$C$25)*'Erkrankungs- und Strukturdaten'!$E$27)+(H80/'Erkrankungs- und Strukturdaten'!$C$26)&gt;0),1,((H80/'Erkrankungs- und Strukturdaten'!$C$25)*'Erkrankungs- und Strukturdaten'!$E$27)+(H80/'Erkrankungs- und Strukturdaten'!$C$26))</f>
        <v>126.96666666666667</v>
      </c>
      <c r="P80" s="4">
        <f>ROUNDUP(((I80/'Erkrankungs- und Strukturdaten'!$C$28)*'Erkrankungs- und Strukturdaten'!$E$30)+(I80/'Erkrankungs- und Strukturdaten'!$C$29),0)</f>
        <v>80</v>
      </c>
      <c r="Q80" s="4">
        <f>ROUNDUP((H80/'Erkrankungs- und Strukturdaten'!$C$34*'Erkrankungs- und Strukturdaten'!$E$36)+(H80/'Erkrankungs- und Strukturdaten'!$C$35),0)</f>
        <v>21</v>
      </c>
      <c r="R80" s="4">
        <f>ROUNDUP((I80*'Erkrankungs- und Strukturdaten'!$C$40/'Erkrankungs- und Strukturdaten'!$C$38*'Erkrankungs- und Strukturdaten'!$E$39)+(I80*(1-'Erkrankungs- und Strukturdaten'!$C$40)/'Erkrankungs- und Strukturdaten'!$C$37*'Erkrankungs- und Strukturdaten'!$E$39),0)</f>
        <v>10</v>
      </c>
      <c r="S80" s="52"/>
      <c r="T80" s="51"/>
      <c r="U80" s="44">
        <f>((H80/'Erkrankungs- und Strukturdaten'!$C$25)*'Erkrankungs- und Strukturdaten'!$E$27*'Erkrankungs- und Strukturdaten'!$F$27)+(H80/'Erkrankungs- und Strukturdaten'!$C$26*'Erkrankungs- und Strukturdaten'!$G$27)</f>
        <v>1045.0333333333333</v>
      </c>
      <c r="V80" s="44">
        <f>(I80/'Erkrankungs- und Strukturdaten'!$C$28*'Erkrankungs- und Strukturdaten'!$E$30*'Erkrankungs- und Strukturdaten'!$F$30)+(I80/'Erkrankungs- und Strukturdaten'!$C$29*'Erkrankungs- und Strukturdaten'!$G$30)</f>
        <v>647.82285714285717</v>
      </c>
      <c r="AB80" s="2">
        <f t="shared" si="3"/>
        <v>44357</v>
      </c>
    </row>
    <row r="81" spans="1:28" ht="15" x14ac:dyDescent="0.2">
      <c r="A81" s="42">
        <v>72</v>
      </c>
      <c r="B81" s="375"/>
      <c r="C81" s="27">
        <f t="shared" si="4"/>
        <v>44358</v>
      </c>
      <c r="D81" s="6">
        <f>SUMIF('Fallzahlen (Berechnung)'!D:D,"&lt;="&amp;Prognoseergebnis!C81,'Fallzahlen (Berechnung)'!E:E)-'Fallzahlen (Berechnung)'!$E$1</f>
        <v>695811.94153529964</v>
      </c>
      <c r="E81" s="114">
        <f>VLOOKUP(C81,'Fallzahlen (Berechnung)'!$D:$E,'Fallzahlen (Berechnung)'!$E$1,FALSE)</f>
        <v>310.09724618487513</v>
      </c>
      <c r="F81" s="26"/>
      <c r="G81" s="18">
        <v>72</v>
      </c>
      <c r="H81" s="6">
        <f>ROUND('Erkrankungs- und Strukturdaten'!$C$8*D81-IF(G81&gt;'Erkrankungs- und Strukturdaten'!$C$14,VLOOKUP(Prognoseergebnis!G81-ROUNDDOWN('Erkrankungs- und Strukturdaten'!$C$14,0),$A:$D,$D$6,FALSE)*'Erkrankungs- und Strukturdaten'!$C$8,0)
+IF(G81&gt;'Erkrankungs- und Strukturdaten'!$C$15,VLOOKUP(Prognoseergebnis!G81-ROUNDDOWN('Erkrankungs- und Strukturdaten'!$C$15,0),A:D,$D$6,FALSE)*'Erkrankungs- und Strukturdaten'!$C$9,0)
-IF(G81&gt;'Erkrankungs- und Strukturdaten'!$C$15+'Erkrankungs- und Strukturdaten'!$C$16,VLOOKUP(Prognoseergebnis!G81-ROUNDDOWN('Erkrankungs- und Strukturdaten'!$C$15-'Erkrankungs- und Strukturdaten'!$C$16,0),A:D,$D$6,FALSE)*'Erkrankungs- und Strukturdaten'!$C$9,0),0)</f>
        <v>273</v>
      </c>
      <c r="I81" s="6">
        <f>ROUND('Erkrankungs- und Strukturdaten'!$C$9*D81-IF(G81&gt;'Erkrankungs- und Strukturdaten'!$C$15,VLOOKUP(Prognoseergebnis!G81-'Erkrankungs- und Strukturdaten'!$C$15,$A:$D,$D$6,FALSE)*'Erkrankungs- und Strukturdaten'!$C$9,0),0)</f>
        <v>68</v>
      </c>
      <c r="J81" s="6">
        <f>I81*'Erkrankungs- und Strukturdaten'!$C$10/'Erkrankungs- und Strukturdaten'!$C$9</f>
        <v>33.32</v>
      </c>
      <c r="K81" s="6">
        <f>I81*'Erkrankungs- und Strukturdaten'!$C$21</f>
        <v>1360</v>
      </c>
      <c r="L81" s="11"/>
      <c r="M81" s="82">
        <f>SUM($K$66:K81)</f>
        <v>34780</v>
      </c>
      <c r="N81" s="9"/>
      <c r="O81" s="6">
        <f>IF(AND(((H81/'Erkrankungs- und Strukturdaten'!$C$25)*'Erkrankungs- und Strukturdaten'!$E$27)+(H81/'Erkrankungs- und Strukturdaten'!$C$26)&lt;1,((H81/'Erkrankungs- und Strukturdaten'!$C$25)*'Erkrankungs- und Strukturdaten'!$E$27)+(H81/'Erkrankungs- und Strukturdaten'!$C$26)&gt;0),1,((H81/'Erkrankungs- und Strukturdaten'!$C$25)*'Erkrankungs- und Strukturdaten'!$E$27)+(H81/'Erkrankungs- und Strukturdaten'!$C$26))</f>
        <v>118.3</v>
      </c>
      <c r="P81" s="6">
        <f>ROUNDUP(((I81/'Erkrankungs- und Strukturdaten'!$C$28)*'Erkrankungs- und Strukturdaten'!$E$30)+(I81/'Erkrankungs- und Strukturdaten'!$C$29),0)</f>
        <v>74</v>
      </c>
      <c r="Q81" s="6">
        <f>ROUNDUP((H81/'Erkrankungs- und Strukturdaten'!$C$34*'Erkrankungs- und Strukturdaten'!$E$36)+(H81/'Erkrankungs- und Strukturdaten'!$C$35),0)</f>
        <v>19</v>
      </c>
      <c r="R81" s="6">
        <f>ROUNDUP((I81*'Erkrankungs- und Strukturdaten'!$C$40/'Erkrankungs- und Strukturdaten'!$C$38*'Erkrankungs- und Strukturdaten'!$E$39)+(I81*(1-'Erkrankungs- und Strukturdaten'!$C$40)/'Erkrankungs- und Strukturdaten'!$C$37*'Erkrankungs- und Strukturdaten'!$E$39),0)</f>
        <v>10</v>
      </c>
      <c r="S81" s="52"/>
      <c r="T81" s="51"/>
      <c r="U81" s="44">
        <f>((H81/'Erkrankungs- und Strukturdaten'!$C$25)*'Erkrankungs- und Strukturdaten'!$E$27*'Erkrankungs- und Strukturdaten'!$F$27)+(H81/'Erkrankungs- und Strukturdaten'!$C$26*'Erkrankungs- und Strukturdaten'!$G$27)</f>
        <v>973.7</v>
      </c>
      <c r="V81" s="44">
        <f>(I81/'Erkrankungs- und Strukturdaten'!$C$28*'Erkrankungs- und Strukturdaten'!$E$30*'Erkrankungs- und Strukturdaten'!$F$30)+(I81/'Erkrankungs- und Strukturdaten'!$C$29*'Erkrankungs- und Strukturdaten'!$G$30)</f>
        <v>603.45142857142855</v>
      </c>
      <c r="AB81" s="2">
        <f t="shared" si="3"/>
        <v>44358</v>
      </c>
    </row>
    <row r="82" spans="1:28" ht="14.85" customHeight="1" x14ac:dyDescent="0.2">
      <c r="A82" s="42">
        <v>73</v>
      </c>
      <c r="B82" s="375"/>
      <c r="C82" s="28">
        <f t="shared" si="4"/>
        <v>44359</v>
      </c>
      <c r="D82" s="5">
        <f>SUMIF('Fallzahlen (Berechnung)'!D:D,"&lt;="&amp;Prognoseergebnis!C82,'Fallzahlen (Berechnung)'!E:E)-'Fallzahlen (Berechnung)'!$E$1</f>
        <v>696003.44049084536</v>
      </c>
      <c r="E82" s="115">
        <f>VLOOKUP(C82,'Fallzahlen (Berechnung)'!$D:$E,'Fallzahlen (Berechnung)'!$E$1,FALSE)</f>
        <v>191.49895554576258</v>
      </c>
      <c r="F82" s="26"/>
      <c r="G82" s="18">
        <v>73</v>
      </c>
      <c r="H82" s="5">
        <f>ROUND('Erkrankungs- und Strukturdaten'!$C$8*D82-IF(G82&gt;'Erkrankungs- und Strukturdaten'!$C$14,VLOOKUP(Prognoseergebnis!G82-ROUNDDOWN('Erkrankungs- und Strukturdaten'!$C$14,0),$A:$D,$D$6,FALSE)*'Erkrankungs- und Strukturdaten'!$C$8,0)
+IF(G82&gt;'Erkrankungs- und Strukturdaten'!$C$15,VLOOKUP(Prognoseergebnis!G82-ROUNDDOWN('Erkrankungs- und Strukturdaten'!$C$15,0),A:D,$D$6,FALSE)*'Erkrankungs- und Strukturdaten'!$C$9,0)
-IF(G82&gt;'Erkrankungs- und Strukturdaten'!$C$15+'Erkrankungs- und Strukturdaten'!$C$16,VLOOKUP(Prognoseergebnis!G82-ROUNDDOWN('Erkrankungs- und Strukturdaten'!$C$15-'Erkrankungs- und Strukturdaten'!$C$16,0),A:D,$D$6,FALSE)*'Erkrankungs- und Strukturdaten'!$C$9,0),0)</f>
        <v>262</v>
      </c>
      <c r="I82" s="5">
        <f>ROUND('Erkrankungs- und Strukturdaten'!$C$9*D82-IF(G82&gt;'Erkrankungs- und Strukturdaten'!$C$15,VLOOKUP(Prognoseergebnis!G82-'Erkrankungs- und Strukturdaten'!$C$15,$A:$D,$D$6,FALSE)*'Erkrankungs- und Strukturdaten'!$C$9,0),0)</f>
        <v>63</v>
      </c>
      <c r="J82" s="5">
        <f>I82*'Erkrankungs- und Strukturdaten'!$C$10/'Erkrankungs- und Strukturdaten'!$C$9</f>
        <v>30.87</v>
      </c>
      <c r="K82" s="5">
        <f>I82*'Erkrankungs- und Strukturdaten'!$C$21</f>
        <v>1260</v>
      </c>
      <c r="L82" s="11"/>
      <c r="M82" s="82">
        <f>SUM($K$66:K82)</f>
        <v>36040</v>
      </c>
      <c r="N82" s="9"/>
      <c r="O82" s="5">
        <f>IF(AND(((H82/'Erkrankungs- und Strukturdaten'!$C$25)*'Erkrankungs- und Strukturdaten'!$E$27)+(H82/'Erkrankungs- und Strukturdaten'!$C$26)&lt;1,((H82/'Erkrankungs- und Strukturdaten'!$C$25)*'Erkrankungs- und Strukturdaten'!$E$27)+(H82/'Erkrankungs- und Strukturdaten'!$C$26)&gt;0),1,((H82/'Erkrankungs- und Strukturdaten'!$C$25)*'Erkrankungs- und Strukturdaten'!$E$27)+(H82/'Erkrankungs- und Strukturdaten'!$C$26))</f>
        <v>113.53333333333333</v>
      </c>
      <c r="P82" s="5">
        <f>ROUNDUP(((I82/'Erkrankungs- und Strukturdaten'!$C$28)*'Erkrankungs- und Strukturdaten'!$E$30)+(I82/'Erkrankungs- und Strukturdaten'!$C$29),0)</f>
        <v>69</v>
      </c>
      <c r="Q82" s="5">
        <f>ROUNDUP((H82/'Erkrankungs- und Strukturdaten'!$C$34*'Erkrankungs- und Strukturdaten'!$E$36)+(H82/'Erkrankungs- und Strukturdaten'!$C$35),0)</f>
        <v>19</v>
      </c>
      <c r="R82" s="5">
        <f>ROUNDUP((I82*'Erkrankungs- und Strukturdaten'!$C$40/'Erkrankungs- und Strukturdaten'!$C$38*'Erkrankungs- und Strukturdaten'!$E$39)+(I82*(1-'Erkrankungs- und Strukturdaten'!$C$40)/'Erkrankungs- und Strukturdaten'!$C$37*'Erkrankungs- und Strukturdaten'!$E$39),0)</f>
        <v>9</v>
      </c>
      <c r="S82" s="52"/>
      <c r="T82" s="51"/>
      <c r="U82" s="44">
        <f>((H82/'Erkrankungs- und Strukturdaten'!$C$25)*'Erkrankungs- und Strukturdaten'!$E$27*'Erkrankungs- und Strukturdaten'!$F$27)+(H82/'Erkrankungs- und Strukturdaten'!$C$26*'Erkrankungs- und Strukturdaten'!$G$27)</f>
        <v>934.4666666666667</v>
      </c>
      <c r="V82" s="44">
        <f>(I82/'Erkrankungs- und Strukturdaten'!$C$28*'Erkrankungs- und Strukturdaten'!$E$30*'Erkrankungs- und Strukturdaten'!$F$30)+(I82/'Erkrankungs- und Strukturdaten'!$C$29*'Erkrankungs- und Strukturdaten'!$G$30)</f>
        <v>559.07999999999993</v>
      </c>
      <c r="AB82" s="2">
        <f t="shared" si="3"/>
        <v>44359</v>
      </c>
    </row>
    <row r="83" spans="1:28" ht="15" x14ac:dyDescent="0.2">
      <c r="A83" s="42">
        <v>74</v>
      </c>
      <c r="B83" s="375"/>
      <c r="C83" s="27">
        <f t="shared" si="4"/>
        <v>44360</v>
      </c>
      <c r="D83" s="6">
        <f>SUMIF('Fallzahlen (Berechnung)'!D:D,"&lt;="&amp;Prognoseergebnis!C83,'Fallzahlen (Berechnung)'!E:E)-'Fallzahlen (Berechnung)'!$E$1</f>
        <v>696138.98497970018</v>
      </c>
      <c r="E83" s="114">
        <f>VLOOKUP(C83,'Fallzahlen (Berechnung)'!$D:$E,'Fallzahlen (Berechnung)'!$E$1,FALSE)</f>
        <v>135.544488854863</v>
      </c>
      <c r="F83" s="26"/>
      <c r="G83" s="18">
        <v>74</v>
      </c>
      <c r="H83" s="6">
        <f>ROUND('Erkrankungs- und Strukturdaten'!$C$8*D83-IF(G83&gt;'Erkrankungs- und Strukturdaten'!$C$14,VLOOKUP(Prognoseergebnis!G83-ROUNDDOWN('Erkrankungs- und Strukturdaten'!$C$14,0),$A:$D,$D$6,FALSE)*'Erkrankungs- und Strukturdaten'!$C$8,0)
+IF(G83&gt;'Erkrankungs- und Strukturdaten'!$C$15,VLOOKUP(Prognoseergebnis!G83-ROUNDDOWN('Erkrankungs- und Strukturdaten'!$C$15,0),A:D,$D$6,FALSE)*'Erkrankungs- und Strukturdaten'!$C$9,0)
-IF(G83&gt;'Erkrankungs- und Strukturdaten'!$C$15+'Erkrankungs- und Strukturdaten'!$C$16,VLOOKUP(Prognoseergebnis!G83-ROUNDDOWN('Erkrankungs- und Strukturdaten'!$C$15-'Erkrankungs- und Strukturdaten'!$C$16,0),A:D,$D$6,FALSE)*'Erkrankungs- und Strukturdaten'!$C$9,0),0)</f>
        <v>253</v>
      </c>
      <c r="I83" s="6">
        <f>ROUND('Erkrankungs- und Strukturdaten'!$C$9*D83-IF(G83&gt;'Erkrankungs- und Strukturdaten'!$C$15,VLOOKUP(Prognoseergebnis!G83-'Erkrankungs- und Strukturdaten'!$C$15,$A:$D,$D$6,FALSE)*'Erkrankungs- und Strukturdaten'!$C$9,0),0)</f>
        <v>60</v>
      </c>
      <c r="J83" s="6">
        <f>I83*'Erkrankungs- und Strukturdaten'!$C$10/'Erkrankungs- und Strukturdaten'!$C$9</f>
        <v>29.4</v>
      </c>
      <c r="K83" s="6">
        <f>I83*'Erkrankungs- und Strukturdaten'!$C$21</f>
        <v>1200</v>
      </c>
      <c r="L83" s="11"/>
      <c r="M83" s="82">
        <f>SUM($K$66:K83)</f>
        <v>37240</v>
      </c>
      <c r="N83" s="9"/>
      <c r="O83" s="6">
        <f>IF(AND(((H83/'Erkrankungs- und Strukturdaten'!$C$25)*'Erkrankungs- und Strukturdaten'!$E$27)+(H83/'Erkrankungs- und Strukturdaten'!$C$26)&lt;1,((H83/'Erkrankungs- und Strukturdaten'!$C$25)*'Erkrankungs- und Strukturdaten'!$E$27)+(H83/'Erkrankungs- und Strukturdaten'!$C$26)&gt;0),1,((H83/'Erkrankungs- und Strukturdaten'!$C$25)*'Erkrankungs- und Strukturdaten'!$E$27)+(H83/'Erkrankungs- und Strukturdaten'!$C$26))</f>
        <v>109.63333333333333</v>
      </c>
      <c r="P83" s="6">
        <f>ROUNDUP(((I83/'Erkrankungs- und Strukturdaten'!$C$28)*'Erkrankungs- und Strukturdaten'!$E$30)+(I83/'Erkrankungs- und Strukturdaten'!$C$29),0)</f>
        <v>66</v>
      </c>
      <c r="Q83" s="6">
        <f>ROUNDUP((H83/'Erkrankungs- und Strukturdaten'!$C$34*'Erkrankungs- und Strukturdaten'!$E$36)+(H83/'Erkrankungs- und Strukturdaten'!$C$35),0)</f>
        <v>18</v>
      </c>
      <c r="R83" s="6">
        <f>ROUNDUP((I83*'Erkrankungs- und Strukturdaten'!$C$40/'Erkrankungs- und Strukturdaten'!$C$38*'Erkrankungs- und Strukturdaten'!$E$39)+(I83*(1-'Erkrankungs- und Strukturdaten'!$C$40)/'Erkrankungs- und Strukturdaten'!$C$37*'Erkrankungs- und Strukturdaten'!$E$39),0)</f>
        <v>9</v>
      </c>
      <c r="S83" s="52"/>
      <c r="T83" s="51"/>
      <c r="U83" s="44">
        <f>((H83/'Erkrankungs- und Strukturdaten'!$C$25)*'Erkrankungs- und Strukturdaten'!$E$27*'Erkrankungs- und Strukturdaten'!$F$27)+(H83/'Erkrankungs- und Strukturdaten'!$C$26*'Erkrankungs- und Strukturdaten'!$G$27)</f>
        <v>902.36666666666667</v>
      </c>
      <c r="V83" s="44">
        <f>(I83/'Erkrankungs- und Strukturdaten'!$C$28*'Erkrankungs- und Strukturdaten'!$E$30*'Erkrankungs- und Strukturdaten'!$F$30)+(I83/'Erkrankungs- und Strukturdaten'!$C$29*'Erkrankungs- und Strukturdaten'!$G$30)</f>
        <v>532.45714285714291</v>
      </c>
      <c r="AB83" s="2">
        <f t="shared" si="3"/>
        <v>44360</v>
      </c>
    </row>
    <row r="84" spans="1:28" ht="15" x14ac:dyDescent="0.2">
      <c r="A84" s="42">
        <v>75</v>
      </c>
      <c r="B84" s="375"/>
      <c r="C84" s="28">
        <f t="shared" si="4"/>
        <v>44361</v>
      </c>
      <c r="D84" s="5">
        <f>SUMIF('Fallzahlen (Berechnung)'!D:D,"&lt;="&amp;Prognoseergebnis!C84,'Fallzahlen (Berechnung)'!E:E)-'Fallzahlen (Berechnung)'!$E$1</f>
        <v>696412.67506532709</v>
      </c>
      <c r="E84" s="115">
        <f>VLOOKUP(C84,'Fallzahlen (Berechnung)'!$D:$E,'Fallzahlen (Berechnung)'!$E$1,FALSE)</f>
        <v>273.69008562686093</v>
      </c>
      <c r="F84" s="26"/>
      <c r="G84" s="18">
        <v>75</v>
      </c>
      <c r="H84" s="5">
        <f>ROUND('Erkrankungs- und Strukturdaten'!$C$8*D84-IF(G84&gt;'Erkrankungs- und Strukturdaten'!$C$14,VLOOKUP(Prognoseergebnis!G84-ROUNDDOWN('Erkrankungs- und Strukturdaten'!$C$14,0),$A:$D,$D$6,FALSE)*'Erkrankungs- und Strukturdaten'!$C$8,0)
+IF(G84&gt;'Erkrankungs- und Strukturdaten'!$C$15,VLOOKUP(Prognoseergebnis!G84-ROUNDDOWN('Erkrankungs- und Strukturdaten'!$C$15,0),A:D,$D$6,FALSE)*'Erkrankungs- und Strukturdaten'!$C$9,0)
-IF(G84&gt;'Erkrankungs- und Strukturdaten'!$C$15+'Erkrankungs- und Strukturdaten'!$C$16,VLOOKUP(Prognoseergebnis!G84-ROUNDDOWN('Erkrankungs- und Strukturdaten'!$C$15-'Erkrankungs- und Strukturdaten'!$C$16,0),A:D,$D$6,FALSE)*'Erkrankungs- und Strukturdaten'!$C$9,0),0)</f>
        <v>237</v>
      </c>
      <c r="I84" s="5">
        <f>ROUND('Erkrankungs- und Strukturdaten'!$C$9*D84-IF(G84&gt;'Erkrankungs- und Strukturdaten'!$C$15,VLOOKUP(Prognoseergebnis!G84-'Erkrankungs- und Strukturdaten'!$C$15,$A:$D,$D$6,FALSE)*'Erkrankungs- und Strukturdaten'!$C$9,0),0)</f>
        <v>60</v>
      </c>
      <c r="J84" s="5">
        <f>I84*'Erkrankungs- und Strukturdaten'!$C$10/'Erkrankungs- und Strukturdaten'!$C$9</f>
        <v>29.4</v>
      </c>
      <c r="K84" s="5">
        <f>I84*'Erkrankungs- und Strukturdaten'!$C$21</f>
        <v>1200</v>
      </c>
      <c r="L84" s="11"/>
      <c r="M84" s="82">
        <f>SUM($K$66:K84)</f>
        <v>38440</v>
      </c>
      <c r="N84" s="9"/>
      <c r="O84" s="5">
        <f>IF(AND(((H84/'Erkrankungs- und Strukturdaten'!$C$25)*'Erkrankungs- und Strukturdaten'!$E$27)+(H84/'Erkrankungs- und Strukturdaten'!$C$26)&lt;1,((H84/'Erkrankungs- und Strukturdaten'!$C$25)*'Erkrankungs- und Strukturdaten'!$E$27)+(H84/'Erkrankungs- und Strukturdaten'!$C$26)&gt;0),1,((H84/'Erkrankungs- und Strukturdaten'!$C$25)*'Erkrankungs- und Strukturdaten'!$E$27)+(H84/'Erkrankungs- und Strukturdaten'!$C$26))</f>
        <v>102.7</v>
      </c>
      <c r="P84" s="5">
        <f>ROUNDUP(((I84/'Erkrankungs- und Strukturdaten'!$C$28)*'Erkrankungs- und Strukturdaten'!$E$30)+(I84/'Erkrankungs- und Strukturdaten'!$C$29),0)</f>
        <v>66</v>
      </c>
      <c r="Q84" s="5">
        <f>ROUNDUP((H84/'Erkrankungs- und Strukturdaten'!$C$34*'Erkrankungs- und Strukturdaten'!$E$36)+(H84/'Erkrankungs- und Strukturdaten'!$C$35),0)</f>
        <v>17</v>
      </c>
      <c r="R84" s="5">
        <f>ROUNDUP((I84*'Erkrankungs- und Strukturdaten'!$C$40/'Erkrankungs- und Strukturdaten'!$C$38*'Erkrankungs- und Strukturdaten'!$E$39)+(I84*(1-'Erkrankungs- und Strukturdaten'!$C$40)/'Erkrankungs- und Strukturdaten'!$C$37*'Erkrankungs- und Strukturdaten'!$E$39),0)</f>
        <v>9</v>
      </c>
      <c r="S84" s="52"/>
      <c r="T84" s="51"/>
      <c r="U84" s="44">
        <f>((H84/'Erkrankungs- und Strukturdaten'!$C$25)*'Erkrankungs- und Strukturdaten'!$E$27*'Erkrankungs- und Strukturdaten'!$F$27)+(H84/'Erkrankungs- und Strukturdaten'!$C$26*'Erkrankungs- und Strukturdaten'!$G$27)</f>
        <v>845.30000000000007</v>
      </c>
      <c r="V84" s="44">
        <f>(I84/'Erkrankungs- und Strukturdaten'!$C$28*'Erkrankungs- und Strukturdaten'!$E$30*'Erkrankungs- und Strukturdaten'!$F$30)+(I84/'Erkrankungs- und Strukturdaten'!$C$29*'Erkrankungs- und Strukturdaten'!$G$30)</f>
        <v>532.45714285714291</v>
      </c>
      <c r="AB84" s="2">
        <f t="shared" si="3"/>
        <v>44361</v>
      </c>
    </row>
    <row r="85" spans="1:28" ht="15" x14ac:dyDescent="0.2">
      <c r="A85" s="42">
        <v>76</v>
      </c>
      <c r="B85" s="375"/>
      <c r="C85" s="27">
        <f t="shared" si="4"/>
        <v>44362</v>
      </c>
      <c r="D85" s="6">
        <f>SUMIF('Fallzahlen (Berechnung)'!D:D,"&lt;="&amp;Prognoseergebnis!C85,'Fallzahlen (Berechnung)'!E:E)-'Fallzahlen (Berechnung)'!$E$1</f>
        <v>696653.18128246232</v>
      </c>
      <c r="E85" s="114">
        <f>VLOOKUP(C85,'Fallzahlen (Berechnung)'!$D:$E,'Fallzahlen (Berechnung)'!$E$1,FALSE)</f>
        <v>240.50621713523137</v>
      </c>
      <c r="F85" s="26"/>
      <c r="G85" s="18">
        <v>76</v>
      </c>
      <c r="H85" s="6">
        <f>ROUND('Erkrankungs- und Strukturdaten'!$C$8*D85-IF(G85&gt;'Erkrankungs- und Strukturdaten'!$C$14,VLOOKUP(Prognoseergebnis!G85-ROUNDDOWN('Erkrankungs- und Strukturdaten'!$C$14,0),$A:$D,$D$6,FALSE)*'Erkrankungs- und Strukturdaten'!$C$8,0)
+IF(G85&gt;'Erkrankungs- und Strukturdaten'!$C$15,VLOOKUP(Prognoseergebnis!G85-ROUNDDOWN('Erkrankungs- und Strukturdaten'!$C$15,0),A:D,$D$6,FALSE)*'Erkrankungs- und Strukturdaten'!$C$9,0)
-IF(G85&gt;'Erkrankungs- und Strukturdaten'!$C$15+'Erkrankungs- und Strukturdaten'!$C$16,VLOOKUP(Prognoseergebnis!G85-ROUNDDOWN('Erkrankungs- und Strukturdaten'!$C$15-'Erkrankungs- und Strukturdaten'!$C$16,0),A:D,$D$6,FALSE)*'Erkrankungs- und Strukturdaten'!$C$9,0),0)</f>
        <v>228</v>
      </c>
      <c r="I85" s="6">
        <f>ROUND('Erkrankungs- und Strukturdaten'!$C$9*D85-IF(G85&gt;'Erkrankungs- und Strukturdaten'!$C$15,VLOOKUP(Prognoseergebnis!G85-'Erkrankungs- und Strukturdaten'!$C$15,$A:$D,$D$6,FALSE)*'Erkrankungs- und Strukturdaten'!$C$9,0),0)</f>
        <v>56</v>
      </c>
      <c r="J85" s="6">
        <f>I85*'Erkrankungs- und Strukturdaten'!$C$10/'Erkrankungs- und Strukturdaten'!$C$9</f>
        <v>27.44</v>
      </c>
      <c r="K85" s="6">
        <f>I85*'Erkrankungs- und Strukturdaten'!$C$21</f>
        <v>1120</v>
      </c>
      <c r="L85" s="11"/>
      <c r="M85" s="82">
        <f>SUM($K$66:K85)</f>
        <v>39560</v>
      </c>
      <c r="N85" s="9"/>
      <c r="O85" s="6">
        <f>IF(AND(((H85/'Erkrankungs- und Strukturdaten'!$C$25)*'Erkrankungs- und Strukturdaten'!$E$27)+(H85/'Erkrankungs- und Strukturdaten'!$C$26)&lt;1,((H85/'Erkrankungs- und Strukturdaten'!$C$25)*'Erkrankungs- und Strukturdaten'!$E$27)+(H85/'Erkrankungs- und Strukturdaten'!$C$26)&gt;0),1,((H85/'Erkrankungs- und Strukturdaten'!$C$25)*'Erkrankungs- und Strukturdaten'!$E$27)+(H85/'Erkrankungs- und Strukturdaten'!$C$26))</f>
        <v>98.8</v>
      </c>
      <c r="P85" s="6">
        <f>ROUNDUP(((I85/'Erkrankungs- und Strukturdaten'!$C$28)*'Erkrankungs- und Strukturdaten'!$E$30)+(I85/'Erkrankungs- und Strukturdaten'!$C$29),0)</f>
        <v>61</v>
      </c>
      <c r="Q85" s="6">
        <f>ROUNDUP((H85/'Erkrankungs- und Strukturdaten'!$C$34*'Erkrankungs- und Strukturdaten'!$E$36)+(H85/'Erkrankungs- und Strukturdaten'!$C$35),0)</f>
        <v>16</v>
      </c>
      <c r="R85" s="6">
        <f>ROUNDUP((I85*'Erkrankungs- und Strukturdaten'!$C$40/'Erkrankungs- und Strukturdaten'!$C$38*'Erkrankungs- und Strukturdaten'!$E$39)+(I85*(1-'Erkrankungs- und Strukturdaten'!$C$40)/'Erkrankungs- und Strukturdaten'!$C$37*'Erkrankungs- und Strukturdaten'!$E$39),0)</f>
        <v>8</v>
      </c>
      <c r="S85" s="52"/>
      <c r="T85" s="51"/>
      <c r="U85" s="44">
        <f>((H85/'Erkrankungs- und Strukturdaten'!$C$25)*'Erkrankungs- und Strukturdaten'!$E$27*'Erkrankungs- und Strukturdaten'!$F$27)+(H85/'Erkrankungs- und Strukturdaten'!$C$26*'Erkrankungs- und Strukturdaten'!$G$27)</f>
        <v>813.2</v>
      </c>
      <c r="V85" s="44">
        <f>(I85/'Erkrankungs- und Strukturdaten'!$C$28*'Erkrankungs- und Strukturdaten'!$E$30*'Erkrankungs- und Strukturdaten'!$F$30)+(I85/'Erkrankungs- und Strukturdaten'!$C$29*'Erkrankungs- und Strukturdaten'!$G$30)</f>
        <v>496.96</v>
      </c>
      <c r="AB85" s="2">
        <f t="shared" si="3"/>
        <v>44362</v>
      </c>
    </row>
    <row r="86" spans="1:28" ht="15" x14ac:dyDescent="0.2">
      <c r="A86" s="42">
        <v>77</v>
      </c>
      <c r="B86" s="375"/>
      <c r="C86" s="29">
        <f t="shared" si="4"/>
        <v>44363</v>
      </c>
      <c r="D86" s="30">
        <f>SUMIF('Fallzahlen (Berechnung)'!D:D,"&lt;="&amp;Prognoseergebnis!C86,'Fallzahlen (Berechnung)'!E:E)-'Fallzahlen (Berechnung)'!$E$1</f>
        <v>696917.33739818248</v>
      </c>
      <c r="E86" s="117">
        <f>VLOOKUP(C86,'Fallzahlen (Berechnung)'!$D:$E,'Fallzahlen (Berechnung)'!$E$1,FALSE)</f>
        <v>264.15611572021083</v>
      </c>
      <c r="F86" s="26"/>
      <c r="G86" s="18">
        <v>77</v>
      </c>
      <c r="H86" s="30">
        <f>ROUND('Erkrankungs- und Strukturdaten'!$C$8*D86-IF(G86&gt;'Erkrankungs- und Strukturdaten'!$C$14,VLOOKUP(Prognoseergebnis!G86-ROUNDDOWN('Erkrankungs- und Strukturdaten'!$C$14,0),$A:$D,$D$6,FALSE)*'Erkrankungs- und Strukturdaten'!$C$8,0)
+IF(G86&gt;'Erkrankungs- und Strukturdaten'!$C$15,VLOOKUP(Prognoseergebnis!G86-ROUNDDOWN('Erkrankungs- und Strukturdaten'!$C$15,0),A:D,$D$6,FALSE)*'Erkrankungs- und Strukturdaten'!$C$9,0)
-IF(G86&gt;'Erkrankungs- und Strukturdaten'!$C$15+'Erkrankungs- und Strukturdaten'!$C$16,VLOOKUP(Prognoseergebnis!G86-ROUNDDOWN('Erkrankungs- und Strukturdaten'!$C$15-'Erkrankungs- und Strukturdaten'!$C$16,0),A:D,$D$6,FALSE)*'Erkrankungs- und Strukturdaten'!$C$9,0),0)</f>
        <v>213</v>
      </c>
      <c r="I86" s="30">
        <f>ROUND('Erkrankungs- und Strukturdaten'!$C$9*D86-IF(G86&gt;'Erkrankungs- und Strukturdaten'!$C$15,VLOOKUP(Prognoseergebnis!G86-'Erkrankungs- und Strukturdaten'!$C$15,$A:$D,$D$6,FALSE)*'Erkrankungs- und Strukturdaten'!$C$9,0),0)</f>
        <v>53</v>
      </c>
      <c r="J86" s="30">
        <f>I86*'Erkrankungs- und Strukturdaten'!$C$10/'Erkrankungs- und Strukturdaten'!$C$9</f>
        <v>25.97</v>
      </c>
      <c r="K86" s="30">
        <f>I86*'Erkrankungs- und Strukturdaten'!$C$21</f>
        <v>1060</v>
      </c>
      <c r="L86" s="11"/>
      <c r="M86" s="82">
        <f>SUM($K$66:K86)</f>
        <v>40620</v>
      </c>
      <c r="N86" s="9"/>
      <c r="O86" s="30">
        <f>IF(AND(((H86/'Erkrankungs- und Strukturdaten'!$C$25)*'Erkrankungs- und Strukturdaten'!$E$27)+(H86/'Erkrankungs- und Strukturdaten'!$C$26)&lt;1,((H86/'Erkrankungs- und Strukturdaten'!$C$25)*'Erkrankungs- und Strukturdaten'!$E$27)+(H86/'Erkrankungs- und Strukturdaten'!$C$26)&gt;0),1,((H86/'Erkrankungs- und Strukturdaten'!$C$25)*'Erkrankungs- und Strukturdaten'!$E$27)+(H86/'Erkrankungs- und Strukturdaten'!$C$26))</f>
        <v>92.3</v>
      </c>
      <c r="P86" s="30">
        <f>ROUNDUP(((I86/'Erkrankungs- und Strukturdaten'!$C$28)*'Erkrankungs- und Strukturdaten'!$E$30)+(I86/'Erkrankungs- und Strukturdaten'!$C$29),0)</f>
        <v>58</v>
      </c>
      <c r="Q86" s="30">
        <f>ROUNDUP((H86/'Erkrankungs- und Strukturdaten'!$C$34*'Erkrankungs- und Strukturdaten'!$E$36)+(H86/'Erkrankungs- und Strukturdaten'!$C$35),0)</f>
        <v>15</v>
      </c>
      <c r="R86" s="30">
        <f>ROUNDUP((I86*'Erkrankungs- und Strukturdaten'!$C$40/'Erkrankungs- und Strukturdaten'!$C$38*'Erkrankungs- und Strukturdaten'!$E$39)+(I86*(1-'Erkrankungs- und Strukturdaten'!$C$40)/'Erkrankungs- und Strukturdaten'!$C$37*'Erkrankungs- und Strukturdaten'!$E$39),0)</f>
        <v>8</v>
      </c>
      <c r="S86" s="52"/>
      <c r="T86" s="51"/>
      <c r="U86" s="44">
        <f>((H86/'Erkrankungs- und Strukturdaten'!$C$25)*'Erkrankungs- und Strukturdaten'!$E$27*'Erkrankungs- und Strukturdaten'!$F$27)+(H86/'Erkrankungs- und Strukturdaten'!$C$26*'Erkrankungs- und Strukturdaten'!$G$27)</f>
        <v>759.7</v>
      </c>
      <c r="V86" s="44">
        <f>(I86/'Erkrankungs- und Strukturdaten'!$C$28*'Erkrankungs- und Strukturdaten'!$E$30*'Erkrankungs- und Strukturdaten'!$F$30)+(I86/'Erkrankungs- und Strukturdaten'!$C$29*'Erkrankungs- und Strukturdaten'!$G$30)</f>
        <v>470.33714285714291</v>
      </c>
      <c r="AB86" s="2">
        <f t="shared" si="3"/>
        <v>44363</v>
      </c>
    </row>
    <row r="87" spans="1:28" ht="14.85" customHeight="1" x14ac:dyDescent="0.2">
      <c r="A87" s="42">
        <v>78</v>
      </c>
      <c r="B87" s="373" t="s">
        <v>33</v>
      </c>
      <c r="C87" s="76">
        <f t="shared" si="4"/>
        <v>44364</v>
      </c>
      <c r="D87" s="77">
        <f>SUMIF('Fallzahlen (Berechnung)'!D:D,"&lt;="&amp;Prognoseergebnis!C87,'Fallzahlen (Berechnung)'!E:E)-'Fallzahlen (Berechnung)'!$E$1</f>
        <v>697110.0247722225</v>
      </c>
      <c r="E87" s="118">
        <f>VLOOKUP(C87,'Fallzahlen (Berechnung)'!$D:$E,'Fallzahlen (Berechnung)'!$E$1,FALSE)</f>
        <v>192.68737404005674</v>
      </c>
      <c r="G87" s="18">
        <v>78</v>
      </c>
      <c r="H87" s="77">
        <f>ROUND('Erkrankungs- und Strukturdaten'!$C$8*D87-IF(G87&gt;'Erkrankungs- und Strukturdaten'!$C$14,VLOOKUP(Prognoseergebnis!G87-ROUNDDOWN('Erkrankungs- und Strukturdaten'!$C$14,0),$A:$D,$D$6,FALSE)*'Erkrankungs- und Strukturdaten'!$C$8,0)
+IF(G87&gt;'Erkrankungs- und Strukturdaten'!$C$15,VLOOKUP(Prognoseergebnis!G87-ROUNDDOWN('Erkrankungs- und Strukturdaten'!$C$15,0),A:D,$D$6,FALSE)*'Erkrankungs- und Strukturdaten'!$C$9,0)
-IF(G87&gt;'Erkrankungs- und Strukturdaten'!$C$15+'Erkrankungs- und Strukturdaten'!$C$16,VLOOKUP(Prognoseergebnis!G87-ROUNDDOWN('Erkrankungs- und Strukturdaten'!$C$15-'Erkrankungs- und Strukturdaten'!$C$16,0),A:D,$D$6,FALSE)*'Erkrankungs- und Strukturdaten'!$C$9,0),0)</f>
        <v>201</v>
      </c>
      <c r="I87" s="77">
        <f>ROUND('Erkrankungs- und Strukturdaten'!$C$9*D87-IF(G87&gt;'Erkrankungs- und Strukturdaten'!$C$15,VLOOKUP(Prognoseergebnis!G87-'Erkrankungs- und Strukturdaten'!$C$15,$A:$D,$D$6,FALSE)*'Erkrankungs- und Strukturdaten'!$C$9,0),0)</f>
        <v>49</v>
      </c>
      <c r="J87" s="77">
        <f>I87*'Erkrankungs- und Strukturdaten'!$C$10/'Erkrankungs- und Strukturdaten'!$C$9</f>
        <v>24.01</v>
      </c>
      <c r="K87" s="77">
        <f>I87*'Erkrankungs- und Strukturdaten'!$C$21</f>
        <v>980</v>
      </c>
      <c r="L87" s="11"/>
      <c r="M87" s="82">
        <f>SUM($K$66:K87)</f>
        <v>41600</v>
      </c>
      <c r="N87" s="9"/>
      <c r="O87" s="77">
        <f>IF(AND(((H87/'Erkrankungs- und Strukturdaten'!$C$25)*'Erkrankungs- und Strukturdaten'!$E$27)+(H87/'Erkrankungs- und Strukturdaten'!$C$26)&lt;1,((H87/'Erkrankungs- und Strukturdaten'!$C$25)*'Erkrankungs- und Strukturdaten'!$E$27)+(H87/'Erkrankungs- und Strukturdaten'!$C$26)&gt;0),1,((H87/'Erkrankungs- und Strukturdaten'!$C$25)*'Erkrankungs- und Strukturdaten'!$E$27)+(H87/'Erkrankungs- und Strukturdaten'!$C$26))</f>
        <v>87.1</v>
      </c>
      <c r="P87" s="77">
        <f>ROUNDUP(((I87/'Erkrankungs- und Strukturdaten'!$C$28)*'Erkrankungs- und Strukturdaten'!$E$30)+(I87/'Erkrankungs- und Strukturdaten'!$C$29),0)</f>
        <v>54</v>
      </c>
      <c r="Q87" s="77">
        <f>ROUNDUP((H87/'Erkrankungs- und Strukturdaten'!$C$34*'Erkrankungs- und Strukturdaten'!$E$36)+(H87/'Erkrankungs- und Strukturdaten'!$C$35),0)</f>
        <v>14</v>
      </c>
      <c r="R87" s="77">
        <f>ROUNDUP((I87*'Erkrankungs- und Strukturdaten'!$C$40/'Erkrankungs- und Strukturdaten'!$C$38*'Erkrankungs- und Strukturdaten'!$E$39)+(I87*(1-'Erkrankungs- und Strukturdaten'!$C$40)/'Erkrankungs- und Strukturdaten'!$C$37*'Erkrankungs- und Strukturdaten'!$E$39),0)</f>
        <v>7</v>
      </c>
      <c r="S87" s="52"/>
      <c r="U87" s="44">
        <f>((H87/'Erkrankungs- und Strukturdaten'!$C$25)*'Erkrankungs- und Strukturdaten'!$E$27*'Erkrankungs- und Strukturdaten'!$F$27)+(H87/'Erkrankungs- und Strukturdaten'!$C$26*'Erkrankungs- und Strukturdaten'!$G$27)</f>
        <v>716.9</v>
      </c>
      <c r="V87" s="44">
        <f>(I87/'Erkrankungs- und Strukturdaten'!$C$28*'Erkrankungs- und Strukturdaten'!$E$30*'Erkrankungs- und Strukturdaten'!$F$30)+(I87/'Erkrankungs- und Strukturdaten'!$C$29*'Erkrankungs- und Strukturdaten'!$G$30)</f>
        <v>434.84000000000003</v>
      </c>
      <c r="AB87" s="2">
        <f t="shared" si="3"/>
        <v>44364</v>
      </c>
    </row>
    <row r="88" spans="1:28" ht="15" x14ac:dyDescent="0.2">
      <c r="A88" s="42">
        <v>79</v>
      </c>
      <c r="B88" s="373"/>
      <c r="C88" s="28">
        <f t="shared" si="4"/>
        <v>44365</v>
      </c>
      <c r="D88" s="5">
        <f>SUMIF('Fallzahlen (Berechnung)'!D:D,"&lt;="&amp;Prognoseergebnis!C88,'Fallzahlen (Berechnung)'!E:E)-'Fallzahlen (Berechnung)'!$E$1</f>
        <v>697314.11223608966</v>
      </c>
      <c r="E88" s="115">
        <f>VLOOKUP(C88,'Fallzahlen (Berechnung)'!$D:$E,'Fallzahlen (Berechnung)'!$E$1,FALSE)</f>
        <v>204.08746386720151</v>
      </c>
      <c r="G88" s="18">
        <v>79</v>
      </c>
      <c r="H88" s="5">
        <f>ROUND('Erkrankungs- und Strukturdaten'!$C$8*D88-IF(G88&gt;'Erkrankungs- und Strukturdaten'!$C$14,VLOOKUP(Prognoseergebnis!G88-ROUNDDOWN('Erkrankungs- und Strukturdaten'!$C$14,0),$A:$D,$D$6,FALSE)*'Erkrankungs- und Strukturdaten'!$C$8,0)
+IF(G88&gt;'Erkrankungs- und Strukturdaten'!$C$15,VLOOKUP(Prognoseergebnis!G88-ROUNDDOWN('Erkrankungs- und Strukturdaten'!$C$15,0),A:D,$D$6,FALSE)*'Erkrankungs- und Strukturdaten'!$C$9,0)
-IF(G88&gt;'Erkrankungs- und Strukturdaten'!$C$15+'Erkrankungs- und Strukturdaten'!$C$16,VLOOKUP(Prognoseergebnis!G88-ROUNDDOWN('Erkrankungs- und Strukturdaten'!$C$15-'Erkrankungs- und Strukturdaten'!$C$16,0),A:D,$D$6,FALSE)*'Erkrankungs- und Strukturdaten'!$C$9,0),0)</f>
        <v>187</v>
      </c>
      <c r="I88" s="5">
        <f>ROUND('Erkrankungs- und Strukturdaten'!$C$9*D88-IF(G88&gt;'Erkrankungs- und Strukturdaten'!$C$15,VLOOKUP(Prognoseergebnis!G88-'Erkrankungs- und Strukturdaten'!$C$15,$A:$D,$D$6,FALSE)*'Erkrankungs- und Strukturdaten'!$C$9,0),0)</f>
        <v>47</v>
      </c>
      <c r="J88" s="5">
        <f>I88*'Erkrankungs- und Strukturdaten'!$C$10/'Erkrankungs- und Strukturdaten'!$C$9</f>
        <v>23.03</v>
      </c>
      <c r="K88" s="5">
        <f>I88*'Erkrankungs- und Strukturdaten'!$C$21</f>
        <v>940</v>
      </c>
      <c r="L88" s="11"/>
      <c r="M88" s="82">
        <f>SUM($K$66:K88)</f>
        <v>42540</v>
      </c>
      <c r="N88" s="9"/>
      <c r="O88" s="5">
        <f>IF(AND(((H88/'Erkrankungs- und Strukturdaten'!$C$25)*'Erkrankungs- und Strukturdaten'!$E$27)+(H88/'Erkrankungs- und Strukturdaten'!$C$26)&lt;1,((H88/'Erkrankungs- und Strukturdaten'!$C$25)*'Erkrankungs- und Strukturdaten'!$E$27)+(H88/'Erkrankungs- und Strukturdaten'!$C$26)&gt;0),1,((H88/'Erkrankungs- und Strukturdaten'!$C$25)*'Erkrankungs- und Strukturdaten'!$E$27)+(H88/'Erkrankungs- und Strukturdaten'!$C$26))</f>
        <v>81.033333333333331</v>
      </c>
      <c r="P88" s="5">
        <f>ROUNDUP(((I88/'Erkrankungs- und Strukturdaten'!$C$28)*'Erkrankungs- und Strukturdaten'!$E$30)+(I88/'Erkrankungs- und Strukturdaten'!$C$29),0)</f>
        <v>52</v>
      </c>
      <c r="Q88" s="5">
        <f>ROUNDUP((H88/'Erkrankungs- und Strukturdaten'!$C$34*'Erkrankungs- und Strukturdaten'!$E$36)+(H88/'Erkrankungs- und Strukturdaten'!$C$35),0)</f>
        <v>13</v>
      </c>
      <c r="R88" s="5">
        <f>ROUNDUP((I88*'Erkrankungs- und Strukturdaten'!$C$40/'Erkrankungs- und Strukturdaten'!$C$38*'Erkrankungs- und Strukturdaten'!$E$39)+(I88*(1-'Erkrankungs- und Strukturdaten'!$C$40)/'Erkrankungs- und Strukturdaten'!$C$37*'Erkrankungs- und Strukturdaten'!$E$39),0)</f>
        <v>7</v>
      </c>
      <c r="S88" s="52"/>
      <c r="U88" s="44">
        <f>((H88/'Erkrankungs- und Strukturdaten'!$C$25)*'Erkrankungs- und Strukturdaten'!$E$27*'Erkrankungs- und Strukturdaten'!$F$27)+(H88/'Erkrankungs- und Strukturdaten'!$C$26*'Erkrankungs- und Strukturdaten'!$G$27)</f>
        <v>666.9666666666667</v>
      </c>
      <c r="V88" s="44">
        <f>(I88/'Erkrankungs- und Strukturdaten'!$C$28*'Erkrankungs- und Strukturdaten'!$E$30*'Erkrankungs- und Strukturdaten'!$F$30)+(I88/'Erkrankungs- und Strukturdaten'!$C$29*'Erkrankungs- und Strukturdaten'!$G$30)</f>
        <v>417.09142857142859</v>
      </c>
      <c r="AB88" s="2">
        <f t="shared" si="3"/>
        <v>44365</v>
      </c>
    </row>
    <row r="89" spans="1:28" ht="15" x14ac:dyDescent="0.2">
      <c r="A89" s="42">
        <v>80</v>
      </c>
      <c r="B89" s="373"/>
      <c r="C89" s="27">
        <f t="shared" si="4"/>
        <v>44366</v>
      </c>
      <c r="D89" s="6">
        <f>SUMIF('Fallzahlen (Berechnung)'!D:D,"&lt;="&amp;Prognoseergebnis!C89,'Fallzahlen (Berechnung)'!E:E)-'Fallzahlen (Berechnung)'!$E$1</f>
        <v>697446.10348658706</v>
      </c>
      <c r="E89" s="114">
        <f>VLOOKUP(C89,'Fallzahlen (Berechnung)'!$D:$E,'Fallzahlen (Berechnung)'!$E$1,FALSE)</f>
        <v>131.99125049739325</v>
      </c>
      <c r="G89" s="18">
        <v>80</v>
      </c>
      <c r="H89" s="6">
        <f>ROUND('Erkrankungs- und Strukturdaten'!$C$8*D89-IF(G89&gt;'Erkrankungs- und Strukturdaten'!$C$14,VLOOKUP(Prognoseergebnis!G89-ROUNDDOWN('Erkrankungs- und Strukturdaten'!$C$14,0),$A:$D,$D$6,FALSE)*'Erkrankungs- und Strukturdaten'!$C$8,0)
+IF(G89&gt;'Erkrankungs- und Strukturdaten'!$C$15,VLOOKUP(Prognoseergebnis!G89-ROUNDDOWN('Erkrankungs- und Strukturdaten'!$C$15,0),A:D,$D$6,FALSE)*'Erkrankungs- und Strukturdaten'!$C$9,0)
-IF(G89&gt;'Erkrankungs- und Strukturdaten'!$C$15+'Erkrankungs- und Strukturdaten'!$C$16,VLOOKUP(Prognoseergebnis!G89-ROUNDDOWN('Erkrankungs- und Strukturdaten'!$C$15-'Erkrankungs- und Strukturdaten'!$C$16,0),A:D,$D$6,FALSE)*'Erkrankungs- und Strukturdaten'!$C$9,0),0)</f>
        <v>181</v>
      </c>
      <c r="I89" s="6">
        <f>ROUND('Erkrankungs- und Strukturdaten'!$C$9*D89-IF(G89&gt;'Erkrankungs- und Strukturdaten'!$C$15,VLOOKUP(Prognoseergebnis!G89-'Erkrankungs- und Strukturdaten'!$C$15,$A:$D,$D$6,FALSE)*'Erkrankungs- und Strukturdaten'!$C$9,0),0)</f>
        <v>43</v>
      </c>
      <c r="J89" s="6">
        <f>I89*'Erkrankungs- und Strukturdaten'!$C$10/'Erkrankungs- und Strukturdaten'!$C$9</f>
        <v>21.07</v>
      </c>
      <c r="K89" s="6">
        <f>I89*'Erkrankungs- und Strukturdaten'!$C$21</f>
        <v>860</v>
      </c>
      <c r="L89" s="11"/>
      <c r="M89" s="82">
        <f>SUM($K$66:K89)</f>
        <v>43400</v>
      </c>
      <c r="N89" s="9"/>
      <c r="O89" s="6">
        <f>IF(AND(((H89/'Erkrankungs- und Strukturdaten'!$C$25)*'Erkrankungs- und Strukturdaten'!$E$27)+(H89/'Erkrankungs- und Strukturdaten'!$C$26)&lt;1,((H89/'Erkrankungs- und Strukturdaten'!$C$25)*'Erkrankungs- und Strukturdaten'!$E$27)+(H89/'Erkrankungs- und Strukturdaten'!$C$26)&gt;0),1,((H89/'Erkrankungs- und Strukturdaten'!$C$25)*'Erkrankungs- und Strukturdaten'!$E$27)+(H89/'Erkrankungs- und Strukturdaten'!$C$26))</f>
        <v>78.433333333333337</v>
      </c>
      <c r="P89" s="6">
        <f>ROUNDUP(((I89/'Erkrankungs- und Strukturdaten'!$C$28)*'Erkrankungs- und Strukturdaten'!$E$30)+(I89/'Erkrankungs- und Strukturdaten'!$C$29),0)</f>
        <v>47</v>
      </c>
      <c r="Q89" s="6">
        <f>ROUNDUP((H89/'Erkrankungs- und Strukturdaten'!$C$34*'Erkrankungs- und Strukturdaten'!$E$36)+(H89/'Erkrankungs- und Strukturdaten'!$C$35),0)</f>
        <v>13</v>
      </c>
      <c r="R89" s="6">
        <f>ROUNDUP((I89*'Erkrankungs- und Strukturdaten'!$C$40/'Erkrankungs- und Strukturdaten'!$C$38*'Erkrankungs- und Strukturdaten'!$E$39)+(I89*(1-'Erkrankungs- und Strukturdaten'!$C$40)/'Erkrankungs- und Strukturdaten'!$C$37*'Erkrankungs- und Strukturdaten'!$E$39),0)</f>
        <v>6</v>
      </c>
      <c r="S89" s="52"/>
      <c r="U89" s="44">
        <f>((H89/'Erkrankungs- und Strukturdaten'!$C$25)*'Erkrankungs- und Strukturdaten'!$E$27*'Erkrankungs- und Strukturdaten'!$F$27)+(H89/'Erkrankungs- und Strukturdaten'!$C$26*'Erkrankungs- und Strukturdaten'!$G$27)</f>
        <v>645.56666666666672</v>
      </c>
      <c r="V89" s="44">
        <f>(I89/'Erkrankungs- und Strukturdaten'!$C$28*'Erkrankungs- und Strukturdaten'!$E$30*'Erkrankungs- und Strukturdaten'!$F$30)+(I89/'Erkrankungs- und Strukturdaten'!$C$29*'Erkrankungs- und Strukturdaten'!$G$30)</f>
        <v>381.59428571428572</v>
      </c>
      <c r="AB89" s="2">
        <f t="shared" si="3"/>
        <v>44366</v>
      </c>
    </row>
    <row r="90" spans="1:28" ht="15" x14ac:dyDescent="0.2">
      <c r="A90" s="42">
        <v>81</v>
      </c>
      <c r="B90" s="373"/>
      <c r="C90" s="28">
        <f t="shared" si="4"/>
        <v>44367</v>
      </c>
      <c r="D90" s="5">
        <f>SUMIF('Fallzahlen (Berechnung)'!D:D,"&lt;="&amp;Prognoseergebnis!C90,'Fallzahlen (Berechnung)'!E:E)-'Fallzahlen (Berechnung)'!$E$1</f>
        <v>697540.0188059262</v>
      </c>
      <c r="E90" s="115">
        <f>VLOOKUP(C90,'Fallzahlen (Berechnung)'!$D:$E,'Fallzahlen (Berechnung)'!$E$1,FALSE)</f>
        <v>93.915319339135721</v>
      </c>
      <c r="G90" s="18">
        <v>81</v>
      </c>
      <c r="H90" s="5">
        <f>ROUND('Erkrankungs- und Strukturdaten'!$C$8*D90-IF(G90&gt;'Erkrankungs- und Strukturdaten'!$C$14,VLOOKUP(Prognoseergebnis!G90-ROUNDDOWN('Erkrankungs- und Strukturdaten'!$C$14,0),$A:$D,$D$6,FALSE)*'Erkrankungs- und Strukturdaten'!$C$8,0)
+IF(G90&gt;'Erkrankungs- und Strukturdaten'!$C$15,VLOOKUP(Prognoseergebnis!G90-ROUNDDOWN('Erkrankungs- und Strukturdaten'!$C$15,0),A:D,$D$6,FALSE)*'Erkrankungs- und Strukturdaten'!$C$9,0)
-IF(G90&gt;'Erkrankungs- und Strukturdaten'!$C$15+'Erkrankungs- und Strukturdaten'!$C$16,VLOOKUP(Prognoseergebnis!G90-ROUNDDOWN('Erkrankungs- und Strukturdaten'!$C$15-'Erkrankungs- und Strukturdaten'!$C$16,0),A:D,$D$6,FALSE)*'Erkrankungs- und Strukturdaten'!$C$9,0),0)</f>
        <v>175</v>
      </c>
      <c r="I90" s="5">
        <f>ROUND('Erkrankungs- und Strukturdaten'!$C$9*D90-IF(G90&gt;'Erkrankungs- und Strukturdaten'!$C$15,VLOOKUP(Prognoseergebnis!G90-'Erkrankungs- und Strukturdaten'!$C$15,$A:$D,$D$6,FALSE)*'Erkrankungs- und Strukturdaten'!$C$9,0),0)</f>
        <v>41</v>
      </c>
      <c r="J90" s="5">
        <f>I90*'Erkrankungs- und Strukturdaten'!$C$10/'Erkrankungs- und Strukturdaten'!$C$9</f>
        <v>20.09</v>
      </c>
      <c r="K90" s="5">
        <f>I90*'Erkrankungs- und Strukturdaten'!$C$21</f>
        <v>820</v>
      </c>
      <c r="L90" s="11"/>
      <c r="M90" s="82">
        <f>SUM($K$66:K90)</f>
        <v>44220</v>
      </c>
      <c r="N90" s="9"/>
      <c r="O90" s="5">
        <f>IF(AND(((H90/'Erkrankungs- und Strukturdaten'!$C$25)*'Erkrankungs- und Strukturdaten'!$E$27)+(H90/'Erkrankungs- und Strukturdaten'!$C$26)&lt;1,((H90/'Erkrankungs- und Strukturdaten'!$C$25)*'Erkrankungs- und Strukturdaten'!$E$27)+(H90/'Erkrankungs- und Strukturdaten'!$C$26)&gt;0),1,((H90/'Erkrankungs- und Strukturdaten'!$C$25)*'Erkrankungs- und Strukturdaten'!$E$27)+(H90/'Erkrankungs- und Strukturdaten'!$C$26))</f>
        <v>75.833333333333343</v>
      </c>
      <c r="P90" s="5">
        <f>ROUNDUP(((I90/'Erkrankungs- und Strukturdaten'!$C$28)*'Erkrankungs- und Strukturdaten'!$E$30)+(I90/'Erkrankungs- und Strukturdaten'!$C$29),0)</f>
        <v>45</v>
      </c>
      <c r="Q90" s="5">
        <f>ROUNDUP((H90/'Erkrankungs- und Strukturdaten'!$C$34*'Erkrankungs- und Strukturdaten'!$E$36)+(H90/'Erkrankungs- und Strukturdaten'!$C$35),0)</f>
        <v>13</v>
      </c>
      <c r="R90" s="5">
        <f>ROUNDUP((I90*'Erkrankungs- und Strukturdaten'!$C$40/'Erkrankungs- und Strukturdaten'!$C$38*'Erkrankungs- und Strukturdaten'!$E$39)+(I90*(1-'Erkrankungs- und Strukturdaten'!$C$40)/'Erkrankungs- und Strukturdaten'!$C$37*'Erkrankungs- und Strukturdaten'!$E$39),0)</f>
        <v>6</v>
      </c>
      <c r="S90" s="52"/>
      <c r="U90" s="44">
        <f>((H90/'Erkrankungs- und Strukturdaten'!$C$25)*'Erkrankungs- und Strukturdaten'!$E$27*'Erkrankungs- und Strukturdaten'!$F$27)+(H90/'Erkrankungs- und Strukturdaten'!$C$26*'Erkrankungs- und Strukturdaten'!$G$27)</f>
        <v>624.16666666666674</v>
      </c>
      <c r="V90" s="44">
        <f>(I90/'Erkrankungs- und Strukturdaten'!$C$28*'Erkrankungs- und Strukturdaten'!$E$30*'Erkrankungs- und Strukturdaten'!$F$30)+(I90/'Erkrankungs- und Strukturdaten'!$C$29*'Erkrankungs- und Strukturdaten'!$G$30)</f>
        <v>363.84571428571428</v>
      </c>
      <c r="AB90" s="2">
        <f t="shared" si="3"/>
        <v>44367</v>
      </c>
    </row>
    <row r="91" spans="1:28" ht="15" x14ac:dyDescent="0.2">
      <c r="A91" s="42">
        <v>82</v>
      </c>
      <c r="B91" s="373"/>
      <c r="C91" s="27">
        <f t="shared" si="4"/>
        <v>44368</v>
      </c>
      <c r="D91" s="6">
        <f>SUMIF('Fallzahlen (Berechnung)'!D:D,"&lt;="&amp;Prognoseergebnis!C91,'Fallzahlen (Berechnung)'!E:E)-'Fallzahlen (Berechnung)'!$E$1</f>
        <v>697734.27341039968</v>
      </c>
      <c r="E91" s="114">
        <f>VLOOKUP(C91,'Fallzahlen (Berechnung)'!$D:$E,'Fallzahlen (Berechnung)'!$E$1,FALSE)</f>
        <v>194.25460447352719</v>
      </c>
      <c r="G91" s="18">
        <v>82</v>
      </c>
      <c r="H91" s="6">
        <f>ROUND('Erkrankungs- und Strukturdaten'!$C$8*D91-IF(G91&gt;'Erkrankungs- und Strukturdaten'!$C$14,VLOOKUP(Prognoseergebnis!G91-ROUNDDOWN('Erkrankungs- und Strukturdaten'!$C$14,0),$A:$D,$D$6,FALSE)*'Erkrankungs- und Strukturdaten'!$C$8,0)
+IF(G91&gt;'Erkrankungs- und Strukturdaten'!$C$15,VLOOKUP(Prognoseergebnis!G91-ROUNDDOWN('Erkrankungs- und Strukturdaten'!$C$15,0),A:D,$D$6,FALSE)*'Erkrankungs- und Strukturdaten'!$C$9,0)
-IF(G91&gt;'Erkrankungs- und Strukturdaten'!$C$15+'Erkrankungs- und Strukturdaten'!$C$16,VLOOKUP(Prognoseergebnis!G91-ROUNDDOWN('Erkrankungs- und Strukturdaten'!$C$15-'Erkrankungs- und Strukturdaten'!$C$16,0),A:D,$D$6,FALSE)*'Erkrankungs- und Strukturdaten'!$C$9,0),0)</f>
        <v>164</v>
      </c>
      <c r="I91" s="6">
        <f>ROUND('Erkrankungs- und Strukturdaten'!$C$9*D91-IF(G91&gt;'Erkrankungs- und Strukturdaten'!$C$15,VLOOKUP(Prognoseergebnis!G91-'Erkrankungs- und Strukturdaten'!$C$15,$A:$D,$D$6,FALSE)*'Erkrankungs- und Strukturdaten'!$C$9,0),0)</f>
        <v>41</v>
      </c>
      <c r="J91" s="6">
        <f>I91*'Erkrankungs- und Strukturdaten'!$C$10/'Erkrankungs- und Strukturdaten'!$C$9</f>
        <v>20.09</v>
      </c>
      <c r="K91" s="6">
        <f>I91*'Erkrankungs- und Strukturdaten'!$C$21</f>
        <v>820</v>
      </c>
      <c r="L91" s="11"/>
      <c r="M91" s="82">
        <f>SUM($K$66:K91)</f>
        <v>45040</v>
      </c>
      <c r="N91" s="9"/>
      <c r="O91" s="6">
        <f>IF(AND(((H91/'Erkrankungs- und Strukturdaten'!$C$25)*'Erkrankungs- und Strukturdaten'!$E$27)+(H91/'Erkrankungs- und Strukturdaten'!$C$26)&lt;1,((H91/'Erkrankungs- und Strukturdaten'!$C$25)*'Erkrankungs- und Strukturdaten'!$E$27)+(H91/'Erkrankungs- und Strukturdaten'!$C$26)&gt;0),1,((H91/'Erkrankungs- und Strukturdaten'!$C$25)*'Erkrankungs- und Strukturdaten'!$E$27)+(H91/'Erkrankungs- und Strukturdaten'!$C$26))</f>
        <v>71.066666666666663</v>
      </c>
      <c r="P91" s="6">
        <f>ROUNDUP(((I91/'Erkrankungs- und Strukturdaten'!$C$28)*'Erkrankungs- und Strukturdaten'!$E$30)+(I91/'Erkrankungs- und Strukturdaten'!$C$29),0)</f>
        <v>45</v>
      </c>
      <c r="Q91" s="6">
        <f>ROUNDUP((H91/'Erkrankungs- und Strukturdaten'!$C$34*'Erkrankungs- und Strukturdaten'!$E$36)+(H91/'Erkrankungs- und Strukturdaten'!$C$35),0)</f>
        <v>12</v>
      </c>
      <c r="R91" s="6">
        <f>ROUNDUP((I91*'Erkrankungs- und Strukturdaten'!$C$40/'Erkrankungs- und Strukturdaten'!$C$38*'Erkrankungs- und Strukturdaten'!$E$39)+(I91*(1-'Erkrankungs- und Strukturdaten'!$C$40)/'Erkrankungs- und Strukturdaten'!$C$37*'Erkrankungs- und Strukturdaten'!$E$39),0)</f>
        <v>6</v>
      </c>
      <c r="S91" s="52"/>
      <c r="U91" s="44">
        <f>((H91/'Erkrankungs- und Strukturdaten'!$C$25)*'Erkrankungs- und Strukturdaten'!$E$27*'Erkrankungs- und Strukturdaten'!$F$27)+(H91/'Erkrankungs- und Strukturdaten'!$C$26*'Erkrankungs- und Strukturdaten'!$G$27)</f>
        <v>584.93333333333339</v>
      </c>
      <c r="V91" s="44">
        <f>(I91/'Erkrankungs- und Strukturdaten'!$C$28*'Erkrankungs- und Strukturdaten'!$E$30*'Erkrankungs- und Strukturdaten'!$F$30)+(I91/'Erkrankungs- und Strukturdaten'!$C$29*'Erkrankungs- und Strukturdaten'!$G$30)</f>
        <v>363.84571428571428</v>
      </c>
      <c r="AB91" s="2">
        <f t="shared" si="3"/>
        <v>44368</v>
      </c>
    </row>
    <row r="92" spans="1:28" ht="15" x14ac:dyDescent="0.2">
      <c r="A92" s="42">
        <v>83</v>
      </c>
      <c r="B92" s="373"/>
      <c r="C92" s="28">
        <f t="shared" si="4"/>
        <v>44369</v>
      </c>
      <c r="D92" s="5">
        <f>SUMIF('Fallzahlen (Berechnung)'!D:D,"&lt;="&amp;Prognoseergebnis!C92,'Fallzahlen (Berechnung)'!E:E)-'Fallzahlen (Berechnung)'!$E$1</f>
        <v>697904.03182428225</v>
      </c>
      <c r="E92" s="115">
        <f>VLOOKUP(C92,'Fallzahlen (Berechnung)'!$D:$E,'Fallzahlen (Berechnung)'!$E$1,FALSE)</f>
        <v>169.7584138826102</v>
      </c>
      <c r="G92" s="18">
        <v>83</v>
      </c>
      <c r="H92" s="5">
        <f>ROUND('Erkrankungs- und Strukturdaten'!$C$8*D92-IF(G92&gt;'Erkrankungs- und Strukturdaten'!$C$14,VLOOKUP(Prognoseergebnis!G92-ROUNDDOWN('Erkrankungs- und Strukturdaten'!$C$14,0),$A:$D,$D$6,FALSE)*'Erkrankungs- und Strukturdaten'!$C$8,0)
+IF(G92&gt;'Erkrankungs- und Strukturdaten'!$C$15,VLOOKUP(Prognoseergebnis!G92-ROUNDDOWN('Erkrankungs- und Strukturdaten'!$C$15,0),A:D,$D$6,FALSE)*'Erkrankungs- und Strukturdaten'!$C$9,0)
-IF(G92&gt;'Erkrankungs- und Strukturdaten'!$C$15+'Erkrankungs- und Strukturdaten'!$C$16,VLOOKUP(Prognoseergebnis!G92-ROUNDDOWN('Erkrankungs- und Strukturdaten'!$C$15-'Erkrankungs- und Strukturdaten'!$C$16,0),A:D,$D$6,FALSE)*'Erkrankungs- und Strukturdaten'!$C$9,0),0)</f>
        <v>157</v>
      </c>
      <c r="I92" s="5">
        <f>ROUND('Erkrankungs- und Strukturdaten'!$C$9*D92-IF(G92&gt;'Erkrankungs- und Strukturdaten'!$C$15,VLOOKUP(Prognoseergebnis!G92-'Erkrankungs- und Strukturdaten'!$C$15,$A:$D,$D$6,FALSE)*'Erkrankungs- und Strukturdaten'!$C$9,0),0)</f>
        <v>38</v>
      </c>
      <c r="J92" s="5">
        <f>I92*'Erkrankungs- und Strukturdaten'!$C$10/'Erkrankungs- und Strukturdaten'!$C$9</f>
        <v>18.62</v>
      </c>
      <c r="K92" s="5">
        <f>I92*'Erkrankungs- und Strukturdaten'!$C$21</f>
        <v>760</v>
      </c>
      <c r="L92" s="11"/>
      <c r="M92" s="82">
        <f>SUM($K$66:K92)</f>
        <v>45800</v>
      </c>
      <c r="N92" s="9"/>
      <c r="O92" s="5">
        <f>IF(AND(((H92/'Erkrankungs- und Strukturdaten'!$C$25)*'Erkrankungs- und Strukturdaten'!$E$27)+(H92/'Erkrankungs- und Strukturdaten'!$C$26)&lt;1,((H92/'Erkrankungs- und Strukturdaten'!$C$25)*'Erkrankungs- und Strukturdaten'!$E$27)+(H92/'Erkrankungs- und Strukturdaten'!$C$26)&gt;0),1,((H92/'Erkrankungs- und Strukturdaten'!$C$25)*'Erkrankungs- und Strukturdaten'!$E$27)+(H92/'Erkrankungs- und Strukturdaten'!$C$26))</f>
        <v>68.033333333333331</v>
      </c>
      <c r="P92" s="5">
        <f>ROUNDUP(((I92/'Erkrankungs- und Strukturdaten'!$C$28)*'Erkrankungs- und Strukturdaten'!$E$30)+(I92/'Erkrankungs- und Strukturdaten'!$C$29),0)</f>
        <v>42</v>
      </c>
      <c r="Q92" s="5">
        <f>ROUNDUP((H92/'Erkrankungs- und Strukturdaten'!$C$34*'Erkrankungs- und Strukturdaten'!$E$36)+(H92/'Erkrankungs- und Strukturdaten'!$C$35),0)</f>
        <v>11</v>
      </c>
      <c r="R92" s="5">
        <f>ROUNDUP((I92*'Erkrankungs- und Strukturdaten'!$C$40/'Erkrankungs- und Strukturdaten'!$C$38*'Erkrankungs- und Strukturdaten'!$E$39)+(I92*(1-'Erkrankungs- und Strukturdaten'!$C$40)/'Erkrankungs- und Strukturdaten'!$C$37*'Erkrankungs- und Strukturdaten'!$E$39),0)</f>
        <v>6</v>
      </c>
      <c r="S92" s="52"/>
      <c r="U92" s="44">
        <f>((H92/'Erkrankungs- und Strukturdaten'!$C$25)*'Erkrankungs- und Strukturdaten'!$E$27*'Erkrankungs- und Strukturdaten'!$F$27)+(H92/'Erkrankungs- und Strukturdaten'!$C$26*'Erkrankungs- und Strukturdaten'!$G$27)</f>
        <v>559.9666666666667</v>
      </c>
      <c r="V92" s="44">
        <f>(I92/'Erkrankungs- und Strukturdaten'!$C$28*'Erkrankungs- und Strukturdaten'!$E$30*'Erkrankungs- und Strukturdaten'!$F$30)+(I92/'Erkrankungs- und Strukturdaten'!$C$29*'Erkrankungs- und Strukturdaten'!$G$30)</f>
        <v>337.22285714285715</v>
      </c>
      <c r="AB92" s="2">
        <f t="shared" si="3"/>
        <v>44369</v>
      </c>
    </row>
    <row r="93" spans="1:28" ht="15" x14ac:dyDescent="0.2">
      <c r="A93" s="42">
        <v>84</v>
      </c>
      <c r="B93" s="373"/>
      <c r="C93" s="73">
        <f t="shared" si="4"/>
        <v>44370</v>
      </c>
      <c r="D93" s="74">
        <f>SUMIF('Fallzahlen (Berechnung)'!D:D,"&lt;="&amp;Prognoseergebnis!C93,'Fallzahlen (Berechnung)'!E:E)-'Fallzahlen (Berechnung)'!$E$1</f>
        <v>698085.03050011373</v>
      </c>
      <c r="E93" s="119">
        <f>VLOOKUP(C93,'Fallzahlen (Berechnung)'!$D:$E,'Fallzahlen (Berechnung)'!$E$1,FALSE)</f>
        <v>180.99867583143137</v>
      </c>
      <c r="G93" s="18">
        <v>84</v>
      </c>
      <c r="H93" s="74">
        <f>ROUND('Erkrankungs- und Strukturdaten'!$C$8*D93-IF(G93&gt;'Erkrankungs- und Strukturdaten'!$C$14,VLOOKUP(Prognoseergebnis!G93-ROUNDDOWN('Erkrankungs- und Strukturdaten'!$C$14,0),$A:$D,$D$6,FALSE)*'Erkrankungs- und Strukturdaten'!$C$8,0)
+IF(G93&gt;'Erkrankungs- und Strukturdaten'!$C$15,VLOOKUP(Prognoseergebnis!G93-ROUNDDOWN('Erkrankungs- und Strukturdaten'!$C$15,0),A:D,$D$6,FALSE)*'Erkrankungs- und Strukturdaten'!$C$9,0)
-IF(G93&gt;'Erkrankungs- und Strukturdaten'!$C$15+'Erkrankungs- und Strukturdaten'!$C$16,VLOOKUP(Prognoseergebnis!G93-ROUNDDOWN('Erkrankungs- und Strukturdaten'!$C$15-'Erkrankungs- und Strukturdaten'!$C$16,0),A:D,$D$6,FALSE)*'Erkrankungs- und Strukturdaten'!$C$9,0),0)</f>
        <v>146</v>
      </c>
      <c r="I93" s="74">
        <f>ROUND('Erkrankungs- und Strukturdaten'!$C$9*D93-IF(G93&gt;'Erkrankungs- und Strukturdaten'!$C$15,VLOOKUP(Prognoseergebnis!G93-'Erkrankungs- und Strukturdaten'!$C$15,$A:$D,$D$6,FALSE)*'Erkrankungs- und Strukturdaten'!$C$9,0),0)</f>
        <v>37</v>
      </c>
      <c r="J93" s="74">
        <f>I93*'Erkrankungs- und Strukturdaten'!$C$10/'Erkrankungs- und Strukturdaten'!$C$9</f>
        <v>18.13</v>
      </c>
      <c r="K93" s="74">
        <f>I93*'Erkrankungs- und Strukturdaten'!$C$21</f>
        <v>740</v>
      </c>
      <c r="L93" s="11"/>
      <c r="M93" s="82">
        <f>SUM($K$66:K93)</f>
        <v>46540</v>
      </c>
      <c r="N93" s="9"/>
      <c r="O93" s="74">
        <f>IF(AND(((H93/'Erkrankungs- und Strukturdaten'!$C$25)*'Erkrankungs- und Strukturdaten'!$E$27)+(H93/'Erkrankungs- und Strukturdaten'!$C$26)&lt;1,((H93/'Erkrankungs- und Strukturdaten'!$C$25)*'Erkrankungs- und Strukturdaten'!$E$27)+(H93/'Erkrankungs- und Strukturdaten'!$C$26)&gt;0),1,((H93/'Erkrankungs- und Strukturdaten'!$C$25)*'Erkrankungs- und Strukturdaten'!$E$27)+(H93/'Erkrankungs- und Strukturdaten'!$C$26))</f>
        <v>63.266666666666666</v>
      </c>
      <c r="P93" s="74">
        <f>ROUNDUP(((I93/'Erkrankungs- und Strukturdaten'!$C$28)*'Erkrankungs- und Strukturdaten'!$E$30)+(I93/'Erkrankungs- und Strukturdaten'!$C$29),0)</f>
        <v>41</v>
      </c>
      <c r="Q93" s="74">
        <f>ROUNDUP((H93/'Erkrankungs- und Strukturdaten'!$C$34*'Erkrankungs- und Strukturdaten'!$E$36)+(H93/'Erkrankungs- und Strukturdaten'!$C$35),0)</f>
        <v>11</v>
      </c>
      <c r="R93" s="74">
        <f>ROUNDUP((I93*'Erkrankungs- und Strukturdaten'!$C$40/'Erkrankungs- und Strukturdaten'!$C$38*'Erkrankungs- und Strukturdaten'!$E$39)+(I93*(1-'Erkrankungs- und Strukturdaten'!$C$40)/'Erkrankungs- und Strukturdaten'!$C$37*'Erkrankungs- und Strukturdaten'!$E$39),0)</f>
        <v>6</v>
      </c>
      <c r="S93" s="52"/>
      <c r="U93" s="44">
        <f>((H93/'Erkrankungs- und Strukturdaten'!$C$25)*'Erkrankungs- und Strukturdaten'!$E$27*'Erkrankungs- und Strukturdaten'!$F$27)+(H93/'Erkrankungs- und Strukturdaten'!$C$26*'Erkrankungs- und Strukturdaten'!$G$27)</f>
        <v>520.73333333333335</v>
      </c>
      <c r="V93" s="44">
        <f>(I93/'Erkrankungs- und Strukturdaten'!$C$28*'Erkrankungs- und Strukturdaten'!$E$30*'Erkrankungs- und Strukturdaten'!$F$30)+(I93/'Erkrankungs- und Strukturdaten'!$C$29*'Erkrankungs- und Strukturdaten'!$G$30)</f>
        <v>328.34857142857146</v>
      </c>
      <c r="AB93" s="2">
        <f t="shared" si="3"/>
        <v>44370</v>
      </c>
    </row>
    <row r="94" spans="1:28" ht="14.85" customHeight="1" x14ac:dyDescent="0.2">
      <c r="A94" s="42">
        <v>85</v>
      </c>
      <c r="B94" s="375" t="s">
        <v>34</v>
      </c>
      <c r="C94" s="78">
        <f t="shared" si="4"/>
        <v>44371</v>
      </c>
      <c r="D94" s="4">
        <f>SUMIF('Fallzahlen (Berechnung)'!D:D,"&lt;="&amp;Prognoseergebnis!C94,'Fallzahlen (Berechnung)'!E:E)-'Fallzahlen (Berechnung)'!$E$1</f>
        <v>698218.5613023123</v>
      </c>
      <c r="E94" s="116">
        <f>VLOOKUP(C94,'Fallzahlen (Berechnung)'!$D:$E,'Fallzahlen (Berechnung)'!$E$1,FALSE)</f>
        <v>133.53080219854598</v>
      </c>
      <c r="G94" s="18">
        <v>85</v>
      </c>
      <c r="H94" s="4">
        <f>ROUND('Erkrankungs- und Strukturdaten'!$C$8*D94-IF(G94&gt;'Erkrankungs- und Strukturdaten'!$C$14,VLOOKUP(Prognoseergebnis!G94-ROUNDDOWN('Erkrankungs- und Strukturdaten'!$C$14,0),$A:$D,$D$6,FALSE)*'Erkrankungs- und Strukturdaten'!$C$8,0)
+IF(G94&gt;'Erkrankungs- und Strukturdaten'!$C$15,VLOOKUP(Prognoseergebnis!G94-ROUNDDOWN('Erkrankungs- und Strukturdaten'!$C$15,0),A:D,$D$6,FALSE)*'Erkrankungs- und Strukturdaten'!$C$9,0)
-IF(G94&gt;'Erkrankungs- und Strukturdaten'!$C$15+'Erkrankungs- und Strukturdaten'!$C$16,VLOOKUP(Prognoseergebnis!G94-ROUNDDOWN('Erkrankungs- und Strukturdaten'!$C$15-'Erkrankungs- und Strukturdaten'!$C$16,0),A:D,$D$6,FALSE)*'Erkrankungs- und Strukturdaten'!$C$9,0),0)</f>
        <v>139</v>
      </c>
      <c r="I94" s="4">
        <f>ROUND('Erkrankungs- und Strukturdaten'!$C$9*D94-IF(G94&gt;'Erkrankungs- und Strukturdaten'!$C$15,VLOOKUP(Prognoseergebnis!G94-'Erkrankungs- und Strukturdaten'!$C$15,$A:$D,$D$6,FALSE)*'Erkrankungs- und Strukturdaten'!$C$9,0),0)</f>
        <v>34</v>
      </c>
      <c r="J94" s="4">
        <f>I94*'Erkrankungs- und Strukturdaten'!$C$10/'Erkrankungs- und Strukturdaten'!$C$9</f>
        <v>16.66</v>
      </c>
      <c r="K94" s="4">
        <f>I94*'Erkrankungs- und Strukturdaten'!$C$21</f>
        <v>680</v>
      </c>
      <c r="L94" s="11"/>
      <c r="M94" s="82">
        <f>SUM($K$66:K94)</f>
        <v>47220</v>
      </c>
      <c r="N94" s="9"/>
      <c r="O94" s="4">
        <f>IF(AND(((H94/'Erkrankungs- und Strukturdaten'!$C$25)*'Erkrankungs- und Strukturdaten'!$E$27)+(H94/'Erkrankungs- und Strukturdaten'!$C$26)&lt;1,((H94/'Erkrankungs- und Strukturdaten'!$C$25)*'Erkrankungs- und Strukturdaten'!$E$27)+(H94/'Erkrankungs- und Strukturdaten'!$C$26)&gt;0),1,((H94/'Erkrankungs- und Strukturdaten'!$C$25)*'Erkrankungs- und Strukturdaten'!$E$27)+(H94/'Erkrankungs- und Strukturdaten'!$C$26))</f>
        <v>60.233333333333334</v>
      </c>
      <c r="P94" s="4">
        <f>ROUNDUP(((I94/'Erkrankungs- und Strukturdaten'!$C$28)*'Erkrankungs- und Strukturdaten'!$E$30)+(I94/'Erkrankungs- und Strukturdaten'!$C$29),0)</f>
        <v>37</v>
      </c>
      <c r="Q94" s="4">
        <f>ROUNDUP((H94/'Erkrankungs- und Strukturdaten'!$C$34*'Erkrankungs- und Strukturdaten'!$E$36)+(H94/'Erkrankungs- und Strukturdaten'!$C$35),0)</f>
        <v>10</v>
      </c>
      <c r="R94" s="4">
        <f>ROUNDUP((I94*'Erkrankungs- und Strukturdaten'!$C$40/'Erkrankungs- und Strukturdaten'!$C$38*'Erkrankungs- und Strukturdaten'!$E$39)+(I94*(1-'Erkrankungs- und Strukturdaten'!$C$40)/'Erkrankungs- und Strukturdaten'!$C$37*'Erkrankungs- und Strukturdaten'!$E$39),0)</f>
        <v>5</v>
      </c>
      <c r="S94" s="52"/>
      <c r="U94" s="44">
        <f>((H94/'Erkrankungs- und Strukturdaten'!$C$25)*'Erkrankungs- und Strukturdaten'!$E$27*'Erkrankungs- und Strukturdaten'!$F$27)+(H94/'Erkrankungs- und Strukturdaten'!$C$26*'Erkrankungs- und Strukturdaten'!$G$27)</f>
        <v>495.76666666666671</v>
      </c>
      <c r="V94" s="44">
        <f>(I94/'Erkrankungs- und Strukturdaten'!$C$28*'Erkrankungs- und Strukturdaten'!$E$30*'Erkrankungs- und Strukturdaten'!$F$30)+(I94/'Erkrankungs- und Strukturdaten'!$C$29*'Erkrankungs- und Strukturdaten'!$G$30)</f>
        <v>301.72571428571428</v>
      </c>
      <c r="AB94" s="2">
        <f t="shared" si="3"/>
        <v>44371</v>
      </c>
    </row>
    <row r="95" spans="1:28" ht="15" x14ac:dyDescent="0.2">
      <c r="A95" s="42">
        <v>86</v>
      </c>
      <c r="B95" s="375"/>
      <c r="C95" s="27">
        <f t="shared" si="4"/>
        <v>44372</v>
      </c>
      <c r="D95" s="6">
        <f>SUMIF('Fallzahlen (Berechnung)'!D:D,"&lt;="&amp;Prognoseergebnis!C95,'Fallzahlen (Berechnung)'!E:E)-'Fallzahlen (Berechnung)'!$E$1</f>
        <v>698359.58018012845</v>
      </c>
      <c r="E95" s="114">
        <f>VLOOKUP(C95,'Fallzahlen (Berechnung)'!$D:$E,'Fallzahlen (Berechnung)'!$E$1,FALSE)</f>
        <v>141.01887781610958</v>
      </c>
      <c r="G95" s="18">
        <v>86</v>
      </c>
      <c r="H95" s="6">
        <f>ROUND('Erkrankungs- und Strukturdaten'!$C$8*D95-IF(G95&gt;'Erkrankungs- und Strukturdaten'!$C$14,VLOOKUP(Prognoseergebnis!G95-ROUNDDOWN('Erkrankungs- und Strukturdaten'!$C$14,0),$A:$D,$D$6,FALSE)*'Erkrankungs- und Strukturdaten'!$C$8,0)
+IF(G95&gt;'Erkrankungs- und Strukturdaten'!$C$15,VLOOKUP(Prognoseergebnis!G95-ROUNDDOWN('Erkrankungs- und Strukturdaten'!$C$15,0),A:D,$D$6,FALSE)*'Erkrankungs- und Strukturdaten'!$C$9,0)
-IF(G95&gt;'Erkrankungs- und Strukturdaten'!$C$15+'Erkrankungs- und Strukturdaten'!$C$16,VLOOKUP(Prognoseergebnis!G95-ROUNDDOWN('Erkrankungs- und Strukturdaten'!$C$15-'Erkrankungs- und Strukturdaten'!$C$16,0),A:D,$D$6,FALSE)*'Erkrankungs- und Strukturdaten'!$C$9,0),0)</f>
        <v>131</v>
      </c>
      <c r="I95" s="6">
        <f>ROUND('Erkrankungs- und Strukturdaten'!$C$9*D95-IF(G95&gt;'Erkrankungs- und Strukturdaten'!$C$15,VLOOKUP(Prognoseergebnis!G95-'Erkrankungs- und Strukturdaten'!$C$15,$A:$D,$D$6,FALSE)*'Erkrankungs- und Strukturdaten'!$C$9,0),0)</f>
        <v>32</v>
      </c>
      <c r="J95" s="6">
        <f>I95*'Erkrankungs- und Strukturdaten'!$C$10/'Erkrankungs- und Strukturdaten'!$C$9</f>
        <v>15.68</v>
      </c>
      <c r="K95" s="6">
        <f>I95*'Erkrankungs- und Strukturdaten'!$C$21</f>
        <v>640</v>
      </c>
      <c r="L95" s="11"/>
      <c r="M95" s="82">
        <f>SUM($K$66:K95)</f>
        <v>47860</v>
      </c>
      <c r="N95" s="9"/>
      <c r="O95" s="6">
        <f>IF(AND(((H95/'Erkrankungs- und Strukturdaten'!$C$25)*'Erkrankungs- und Strukturdaten'!$E$27)+(H95/'Erkrankungs- und Strukturdaten'!$C$26)&lt;1,((H95/'Erkrankungs- und Strukturdaten'!$C$25)*'Erkrankungs- und Strukturdaten'!$E$27)+(H95/'Erkrankungs- und Strukturdaten'!$C$26)&gt;0),1,((H95/'Erkrankungs- und Strukturdaten'!$C$25)*'Erkrankungs- und Strukturdaten'!$E$27)+(H95/'Erkrankungs- und Strukturdaten'!$C$26))</f>
        <v>56.766666666666666</v>
      </c>
      <c r="P95" s="6">
        <f>ROUNDUP(((I95/'Erkrankungs- und Strukturdaten'!$C$28)*'Erkrankungs- und Strukturdaten'!$E$30)+(I95/'Erkrankungs- und Strukturdaten'!$C$29),0)</f>
        <v>35</v>
      </c>
      <c r="Q95" s="6">
        <f>ROUNDUP((H95/'Erkrankungs- und Strukturdaten'!$C$34*'Erkrankungs- und Strukturdaten'!$E$36)+(H95/'Erkrankungs- und Strukturdaten'!$C$35),0)</f>
        <v>10</v>
      </c>
      <c r="R95" s="6">
        <f>ROUNDUP((I95*'Erkrankungs- und Strukturdaten'!$C$40/'Erkrankungs- und Strukturdaten'!$C$38*'Erkrankungs- und Strukturdaten'!$E$39)+(I95*(1-'Erkrankungs- und Strukturdaten'!$C$40)/'Erkrankungs- und Strukturdaten'!$C$37*'Erkrankungs- und Strukturdaten'!$E$39),0)</f>
        <v>5</v>
      </c>
      <c r="S95" s="52"/>
      <c r="U95" s="44">
        <f>((H95/'Erkrankungs- und Strukturdaten'!$C$25)*'Erkrankungs- und Strukturdaten'!$E$27*'Erkrankungs- und Strukturdaten'!$F$27)+(H95/'Erkrankungs- und Strukturdaten'!$C$26*'Erkrankungs- und Strukturdaten'!$G$27)</f>
        <v>467.23333333333335</v>
      </c>
      <c r="V95" s="44">
        <f>(I95/'Erkrankungs- und Strukturdaten'!$C$28*'Erkrankungs- und Strukturdaten'!$E$30*'Erkrankungs- und Strukturdaten'!$F$30)+(I95/'Erkrankungs- und Strukturdaten'!$C$29*'Erkrankungs- und Strukturdaten'!$G$30)</f>
        <v>283.97714285714284</v>
      </c>
      <c r="AB95" s="2">
        <f t="shared" si="3"/>
        <v>44372</v>
      </c>
    </row>
    <row r="96" spans="1:28" ht="15" x14ac:dyDescent="0.2">
      <c r="A96" s="42">
        <v>87</v>
      </c>
      <c r="B96" s="375"/>
      <c r="C96" s="28">
        <f t="shared" si="4"/>
        <v>44373</v>
      </c>
      <c r="D96" s="5">
        <f>SUMIF('Fallzahlen (Berechnung)'!D:D,"&lt;="&amp;Prognoseergebnis!C96,'Fallzahlen (Berechnung)'!E:E)-'Fallzahlen (Berechnung)'!$E$1</f>
        <v>698450.89984557976</v>
      </c>
      <c r="E96" s="115">
        <f>VLOOKUP(C96,'Fallzahlen (Berechnung)'!$D:$E,'Fallzahlen (Berechnung)'!$E$1,FALSE)</f>
        <v>91.31966545134101</v>
      </c>
      <c r="G96" s="18">
        <v>87</v>
      </c>
      <c r="H96" s="5">
        <f>ROUND('Erkrankungs- und Strukturdaten'!$C$8*D96-IF(G96&gt;'Erkrankungs- und Strukturdaten'!$C$14,VLOOKUP(Prognoseergebnis!G96-ROUNDDOWN('Erkrankungs- und Strukturdaten'!$C$14,0),$A:$D,$D$6,FALSE)*'Erkrankungs- und Strukturdaten'!$C$8,0)
+IF(G96&gt;'Erkrankungs- und Strukturdaten'!$C$15,VLOOKUP(Prognoseergebnis!G96-ROUNDDOWN('Erkrankungs- und Strukturdaten'!$C$15,0),A:D,$D$6,FALSE)*'Erkrankungs- und Strukturdaten'!$C$9,0)
-IF(G96&gt;'Erkrankungs- und Strukturdaten'!$C$15+'Erkrankungs- und Strukturdaten'!$C$16,VLOOKUP(Prognoseergebnis!G96-ROUNDDOWN('Erkrankungs- und Strukturdaten'!$C$15-'Erkrankungs- und Strukturdaten'!$C$16,0),A:D,$D$6,FALSE)*'Erkrankungs- und Strukturdaten'!$C$9,0),0)</f>
        <v>126</v>
      </c>
      <c r="I96" s="5">
        <f>ROUND('Erkrankungs- und Strukturdaten'!$C$9*D96-IF(G96&gt;'Erkrankungs- und Strukturdaten'!$C$15,VLOOKUP(Prognoseergebnis!G96-'Erkrankungs- und Strukturdaten'!$C$15,$A:$D,$D$6,FALSE)*'Erkrankungs- und Strukturdaten'!$C$9,0),0)</f>
        <v>30</v>
      </c>
      <c r="J96" s="5">
        <f>I96*'Erkrankungs- und Strukturdaten'!$C$10/'Erkrankungs- und Strukturdaten'!$C$9</f>
        <v>14.7</v>
      </c>
      <c r="K96" s="5">
        <f>I96*'Erkrankungs- und Strukturdaten'!$C$21</f>
        <v>600</v>
      </c>
      <c r="L96" s="11"/>
      <c r="M96" s="82">
        <f>SUM($K$66:K96)</f>
        <v>48460</v>
      </c>
      <c r="N96" s="9"/>
      <c r="O96" s="5">
        <f>IF(AND(((H96/'Erkrankungs- und Strukturdaten'!$C$25)*'Erkrankungs- und Strukturdaten'!$E$27)+(H96/'Erkrankungs- und Strukturdaten'!$C$26)&lt;1,((H96/'Erkrankungs- und Strukturdaten'!$C$25)*'Erkrankungs- und Strukturdaten'!$E$27)+(H96/'Erkrankungs- und Strukturdaten'!$C$26)&gt;0),1,((H96/'Erkrankungs- und Strukturdaten'!$C$25)*'Erkrankungs- und Strukturdaten'!$E$27)+(H96/'Erkrankungs- und Strukturdaten'!$C$26))</f>
        <v>54.6</v>
      </c>
      <c r="P96" s="5">
        <f>ROUNDUP(((I96/'Erkrankungs- und Strukturdaten'!$C$28)*'Erkrankungs- und Strukturdaten'!$E$30)+(I96/'Erkrankungs- und Strukturdaten'!$C$29),0)</f>
        <v>33</v>
      </c>
      <c r="Q96" s="5">
        <f>ROUNDUP((H96/'Erkrankungs- und Strukturdaten'!$C$34*'Erkrankungs- und Strukturdaten'!$E$36)+(H96/'Erkrankungs- und Strukturdaten'!$C$35),0)</f>
        <v>9</v>
      </c>
      <c r="R96" s="5">
        <f>ROUNDUP((I96*'Erkrankungs- und Strukturdaten'!$C$40/'Erkrankungs- und Strukturdaten'!$C$38*'Erkrankungs- und Strukturdaten'!$E$39)+(I96*(1-'Erkrankungs- und Strukturdaten'!$C$40)/'Erkrankungs- und Strukturdaten'!$C$37*'Erkrankungs- und Strukturdaten'!$E$39),0)</f>
        <v>5</v>
      </c>
      <c r="S96" s="52"/>
      <c r="U96" s="44">
        <f>((H96/'Erkrankungs- und Strukturdaten'!$C$25)*'Erkrankungs- und Strukturdaten'!$E$27*'Erkrankungs- und Strukturdaten'!$F$27)+(H96/'Erkrankungs- und Strukturdaten'!$C$26*'Erkrankungs- und Strukturdaten'!$G$27)</f>
        <v>449.40000000000003</v>
      </c>
      <c r="V96" s="44">
        <f>(I96/'Erkrankungs- und Strukturdaten'!$C$28*'Erkrankungs- und Strukturdaten'!$E$30*'Erkrankungs- und Strukturdaten'!$F$30)+(I96/'Erkrankungs- und Strukturdaten'!$C$29*'Erkrankungs- und Strukturdaten'!$G$30)</f>
        <v>266.22857142857146</v>
      </c>
      <c r="AB96" s="2">
        <f t="shared" si="3"/>
        <v>44373</v>
      </c>
    </row>
    <row r="97" spans="1:28" ht="15" x14ac:dyDescent="0.2">
      <c r="A97" s="42">
        <v>88</v>
      </c>
      <c r="B97" s="375"/>
      <c r="C97" s="27">
        <f t="shared" si="4"/>
        <v>44374</v>
      </c>
      <c r="D97" s="6">
        <f>SUMIF('Fallzahlen (Berechnung)'!D:D,"&lt;="&amp;Prognoseergebnis!C97,'Fallzahlen (Berechnung)'!E:E)-'Fallzahlen (Berechnung)'!$E$1</f>
        <v>698515.87134792015</v>
      </c>
      <c r="E97" s="114">
        <f>VLOOKUP(C97,'Fallzahlen (Berechnung)'!$D:$E,'Fallzahlen (Berechnung)'!$E$1,FALSE)</f>
        <v>64.971502340352203</v>
      </c>
      <c r="G97" s="18">
        <v>88</v>
      </c>
      <c r="H97" s="6">
        <f>ROUND('Erkrankungs- und Strukturdaten'!$C$8*D97-IF(G97&gt;'Erkrankungs- und Strukturdaten'!$C$14,VLOOKUP(Prognoseergebnis!G97-ROUNDDOWN('Erkrankungs- und Strukturdaten'!$C$14,0),$A:$D,$D$6,FALSE)*'Erkrankungs- und Strukturdaten'!$C$8,0)
+IF(G97&gt;'Erkrankungs- und Strukturdaten'!$C$15,VLOOKUP(Prognoseergebnis!G97-ROUNDDOWN('Erkrankungs- und Strukturdaten'!$C$15,0),A:D,$D$6,FALSE)*'Erkrankungs- und Strukturdaten'!$C$9,0)
-IF(G97&gt;'Erkrankungs- und Strukturdaten'!$C$15+'Erkrankungs- und Strukturdaten'!$C$16,VLOOKUP(Prognoseergebnis!G97-ROUNDDOWN('Erkrankungs- und Strukturdaten'!$C$15-'Erkrankungs- und Strukturdaten'!$C$16,0),A:D,$D$6,FALSE)*'Erkrankungs- und Strukturdaten'!$C$9,0),0)</f>
        <v>122</v>
      </c>
      <c r="I97" s="6">
        <f>ROUND('Erkrankungs- und Strukturdaten'!$C$9*D97-IF(G97&gt;'Erkrankungs- und Strukturdaten'!$C$15,VLOOKUP(Prognoseergebnis!G97-'Erkrankungs- und Strukturdaten'!$C$15,$A:$D,$D$6,FALSE)*'Erkrankungs- und Strukturdaten'!$C$9,0),0)</f>
        <v>28</v>
      </c>
      <c r="J97" s="6">
        <f>I97*'Erkrankungs- und Strukturdaten'!$C$10/'Erkrankungs- und Strukturdaten'!$C$9</f>
        <v>13.72</v>
      </c>
      <c r="K97" s="6">
        <f>I97*'Erkrankungs- und Strukturdaten'!$C$21</f>
        <v>560</v>
      </c>
      <c r="L97" s="11"/>
      <c r="M97" s="82">
        <f>SUM($K$66:K97)</f>
        <v>49020</v>
      </c>
      <c r="N97" s="9"/>
      <c r="O97" s="6">
        <f>IF(AND(((H97/'Erkrankungs- und Strukturdaten'!$C$25)*'Erkrankungs- und Strukturdaten'!$E$27)+(H97/'Erkrankungs- und Strukturdaten'!$C$26)&lt;1,((H97/'Erkrankungs- und Strukturdaten'!$C$25)*'Erkrankungs- und Strukturdaten'!$E$27)+(H97/'Erkrankungs- und Strukturdaten'!$C$26)&gt;0),1,((H97/'Erkrankungs- und Strukturdaten'!$C$25)*'Erkrankungs- und Strukturdaten'!$E$27)+(H97/'Erkrankungs- und Strukturdaten'!$C$26))</f>
        <v>52.86666666666666</v>
      </c>
      <c r="P97" s="6">
        <f>ROUNDUP(((I97/'Erkrankungs- und Strukturdaten'!$C$28)*'Erkrankungs- und Strukturdaten'!$E$30)+(I97/'Erkrankungs- und Strukturdaten'!$C$29),0)</f>
        <v>31</v>
      </c>
      <c r="Q97" s="6">
        <f>ROUNDUP((H97/'Erkrankungs- und Strukturdaten'!$C$34*'Erkrankungs- und Strukturdaten'!$E$36)+(H97/'Erkrankungs- und Strukturdaten'!$C$35),0)</f>
        <v>9</v>
      </c>
      <c r="R97" s="6">
        <f>ROUNDUP((I97*'Erkrankungs- und Strukturdaten'!$C$40/'Erkrankungs- und Strukturdaten'!$C$38*'Erkrankungs- und Strukturdaten'!$E$39)+(I97*(1-'Erkrankungs- und Strukturdaten'!$C$40)/'Erkrankungs- und Strukturdaten'!$C$37*'Erkrankungs- und Strukturdaten'!$E$39),0)</f>
        <v>4</v>
      </c>
      <c r="S97" s="52"/>
      <c r="U97" s="44">
        <f>((H97/'Erkrankungs- und Strukturdaten'!$C$25)*'Erkrankungs- und Strukturdaten'!$E$27*'Erkrankungs- und Strukturdaten'!$F$27)+(H97/'Erkrankungs- und Strukturdaten'!$C$26*'Erkrankungs- und Strukturdaten'!$G$27)</f>
        <v>435.13333333333333</v>
      </c>
      <c r="V97" s="44">
        <f>(I97/'Erkrankungs- und Strukturdaten'!$C$28*'Erkrankungs- und Strukturdaten'!$E$30*'Erkrankungs- und Strukturdaten'!$F$30)+(I97/'Erkrankungs- und Strukturdaten'!$C$29*'Erkrankungs- und Strukturdaten'!$G$30)</f>
        <v>248.48</v>
      </c>
      <c r="AB97" s="2">
        <f t="shared" si="3"/>
        <v>44374</v>
      </c>
    </row>
    <row r="98" spans="1:28" ht="15" x14ac:dyDescent="0.2">
      <c r="A98" s="42">
        <v>89</v>
      </c>
      <c r="B98" s="375"/>
      <c r="C98" s="28">
        <f t="shared" si="4"/>
        <v>44375</v>
      </c>
      <c r="D98" s="5">
        <f>SUMIF('Fallzahlen (Berechnung)'!D:D,"&lt;="&amp;Prognoseergebnis!C98,'Fallzahlen (Berechnung)'!E:E)-'Fallzahlen (Berechnung)'!$E$1</f>
        <v>698651.05025984894</v>
      </c>
      <c r="E98" s="115">
        <f>VLOOKUP(C98,'Fallzahlen (Berechnung)'!$D:$E,'Fallzahlen (Berechnung)'!$E$1,FALSE)</f>
        <v>135.17891192877832</v>
      </c>
      <c r="G98" s="18">
        <v>89</v>
      </c>
      <c r="H98" s="5">
        <f>ROUND('Erkrankungs- und Strukturdaten'!$C$8*D98-IF(G98&gt;'Erkrankungs- und Strukturdaten'!$C$14,VLOOKUP(Prognoseergebnis!G98-ROUNDDOWN('Erkrankungs- und Strukturdaten'!$C$14,0),$A:$D,$D$6,FALSE)*'Erkrankungs- und Strukturdaten'!$C$8,0)
+IF(G98&gt;'Erkrankungs- und Strukturdaten'!$C$15,VLOOKUP(Prognoseergebnis!G98-ROUNDDOWN('Erkrankungs- und Strukturdaten'!$C$15,0),A:D,$D$6,FALSE)*'Erkrankungs- und Strukturdaten'!$C$9,0)
-IF(G98&gt;'Erkrankungs- und Strukturdaten'!$C$15+'Erkrankungs- und Strukturdaten'!$C$16,VLOOKUP(Prognoseergebnis!G98-ROUNDDOWN('Erkrankungs- und Strukturdaten'!$C$15-'Erkrankungs- und Strukturdaten'!$C$16,0),A:D,$D$6,FALSE)*'Erkrankungs- und Strukturdaten'!$C$9,0),0)</f>
        <v>114</v>
      </c>
      <c r="I98" s="5">
        <f>ROUND('Erkrankungs- und Strukturdaten'!$C$9*D98-IF(G98&gt;'Erkrankungs- und Strukturdaten'!$C$15,VLOOKUP(Prognoseergebnis!G98-'Erkrankungs- und Strukturdaten'!$C$15,$A:$D,$D$6,FALSE)*'Erkrankungs- und Strukturdaten'!$C$9,0),0)</f>
        <v>28</v>
      </c>
      <c r="J98" s="5">
        <f>I98*'Erkrankungs- und Strukturdaten'!$C$10/'Erkrankungs- und Strukturdaten'!$C$9</f>
        <v>13.72</v>
      </c>
      <c r="K98" s="5">
        <f>I98*'Erkrankungs- und Strukturdaten'!$C$21</f>
        <v>560</v>
      </c>
      <c r="L98" s="11"/>
      <c r="M98" s="82">
        <f>SUM($K$66:K98)</f>
        <v>49580</v>
      </c>
      <c r="N98" s="9"/>
      <c r="O98" s="5">
        <f>IF(AND(((H98/'Erkrankungs- und Strukturdaten'!$C$25)*'Erkrankungs- und Strukturdaten'!$E$27)+(H98/'Erkrankungs- und Strukturdaten'!$C$26)&lt;1,((H98/'Erkrankungs- und Strukturdaten'!$C$25)*'Erkrankungs- und Strukturdaten'!$E$27)+(H98/'Erkrankungs- und Strukturdaten'!$C$26)&gt;0),1,((H98/'Erkrankungs- und Strukturdaten'!$C$25)*'Erkrankungs- und Strukturdaten'!$E$27)+(H98/'Erkrankungs- und Strukturdaten'!$C$26))</f>
        <v>49.4</v>
      </c>
      <c r="P98" s="5">
        <f>ROUNDUP(((I98/'Erkrankungs- und Strukturdaten'!$C$28)*'Erkrankungs- und Strukturdaten'!$E$30)+(I98/'Erkrankungs- und Strukturdaten'!$C$29),0)</f>
        <v>31</v>
      </c>
      <c r="Q98" s="5">
        <f>ROUNDUP((H98/'Erkrankungs- und Strukturdaten'!$C$34*'Erkrankungs- und Strukturdaten'!$E$36)+(H98/'Erkrankungs- und Strukturdaten'!$C$35),0)</f>
        <v>8</v>
      </c>
      <c r="R98" s="5">
        <f>ROUNDUP((I98*'Erkrankungs- und Strukturdaten'!$C$40/'Erkrankungs- und Strukturdaten'!$C$38*'Erkrankungs- und Strukturdaten'!$E$39)+(I98*(1-'Erkrankungs- und Strukturdaten'!$C$40)/'Erkrankungs- und Strukturdaten'!$C$37*'Erkrankungs- und Strukturdaten'!$E$39),0)</f>
        <v>4</v>
      </c>
      <c r="S98" s="52"/>
      <c r="U98" s="44">
        <f>((H98/'Erkrankungs- und Strukturdaten'!$C$25)*'Erkrankungs- und Strukturdaten'!$E$27*'Erkrankungs- und Strukturdaten'!$F$27)+(H98/'Erkrankungs- und Strukturdaten'!$C$26*'Erkrankungs- und Strukturdaten'!$G$27)</f>
        <v>406.6</v>
      </c>
      <c r="V98" s="44">
        <f>(I98/'Erkrankungs- und Strukturdaten'!$C$28*'Erkrankungs- und Strukturdaten'!$E$30*'Erkrankungs- und Strukturdaten'!$F$30)+(I98/'Erkrankungs- und Strukturdaten'!$C$29*'Erkrankungs- und Strukturdaten'!$G$30)</f>
        <v>248.48</v>
      </c>
      <c r="AB98" s="2">
        <f t="shared" si="3"/>
        <v>44375</v>
      </c>
    </row>
    <row r="99" spans="1:28" ht="15" x14ac:dyDescent="0.2">
      <c r="A99" s="42">
        <v>90</v>
      </c>
      <c r="B99" s="375"/>
      <c r="C99" s="27">
        <f t="shared" si="4"/>
        <v>44376</v>
      </c>
      <c r="D99" s="6">
        <f>SUMIF('Fallzahlen (Berechnung)'!D:D,"&lt;="&amp;Prognoseergebnis!C99,'Fallzahlen (Berechnung)'!E:E)-'Fallzahlen (Berechnung)'!$E$1</f>
        <v>698770.16454065219</v>
      </c>
      <c r="E99" s="114">
        <f>VLOOKUP(C99,'Fallzahlen (Berechnung)'!$D:$E,'Fallzahlen (Berechnung)'!$E$1,FALSE)</f>
        <v>119.11428080319178</v>
      </c>
      <c r="G99" s="18">
        <v>90</v>
      </c>
      <c r="H99" s="6">
        <f>ROUND('Erkrankungs- und Strukturdaten'!$C$8*D99-IF(G99&gt;'Erkrankungs- und Strukturdaten'!$C$14,VLOOKUP(Prognoseergebnis!G99-ROUNDDOWN('Erkrankungs- und Strukturdaten'!$C$14,0),$A:$D,$D$6,FALSE)*'Erkrankungs- und Strukturdaten'!$C$8,0)
+IF(G99&gt;'Erkrankungs- und Strukturdaten'!$C$15,VLOOKUP(Prognoseergebnis!G99-ROUNDDOWN('Erkrankungs- und Strukturdaten'!$C$15,0),A:D,$D$6,FALSE)*'Erkrankungs- und Strukturdaten'!$C$9,0)
-IF(G99&gt;'Erkrankungs- und Strukturdaten'!$C$15+'Erkrankungs- und Strukturdaten'!$C$16,VLOOKUP(Prognoseergebnis!G99-ROUNDDOWN('Erkrankungs- und Strukturdaten'!$C$15-'Erkrankungs- und Strukturdaten'!$C$16,0),A:D,$D$6,FALSE)*'Erkrankungs- und Strukturdaten'!$C$9,0),0)</f>
        <v>109</v>
      </c>
      <c r="I99" s="6">
        <f>ROUND('Erkrankungs- und Strukturdaten'!$C$9*D99-IF(G99&gt;'Erkrankungs- und Strukturdaten'!$C$15,VLOOKUP(Prognoseergebnis!G99-'Erkrankungs- und Strukturdaten'!$C$15,$A:$D,$D$6,FALSE)*'Erkrankungs- und Strukturdaten'!$C$9,0),0)</f>
        <v>26</v>
      </c>
      <c r="J99" s="6">
        <f>I99*'Erkrankungs- und Strukturdaten'!$C$10/'Erkrankungs- und Strukturdaten'!$C$9</f>
        <v>12.739999999999998</v>
      </c>
      <c r="K99" s="6">
        <f>I99*'Erkrankungs- und Strukturdaten'!$C$21</f>
        <v>520</v>
      </c>
      <c r="L99" s="11"/>
      <c r="M99" s="82">
        <f>SUM($K$66:K99)</f>
        <v>50100</v>
      </c>
      <c r="N99" s="9"/>
      <c r="O99" s="6">
        <f>IF(AND(((H99/'Erkrankungs- und Strukturdaten'!$C$25)*'Erkrankungs- und Strukturdaten'!$E$27)+(H99/'Erkrankungs- und Strukturdaten'!$C$26)&lt;1,((H99/'Erkrankungs- und Strukturdaten'!$C$25)*'Erkrankungs- und Strukturdaten'!$E$27)+(H99/'Erkrankungs- und Strukturdaten'!$C$26)&gt;0),1,((H99/'Erkrankungs- und Strukturdaten'!$C$25)*'Erkrankungs- und Strukturdaten'!$E$27)+(H99/'Erkrankungs- und Strukturdaten'!$C$26))</f>
        <v>47.233333333333334</v>
      </c>
      <c r="P99" s="6">
        <f>ROUNDUP(((I99/'Erkrankungs- und Strukturdaten'!$C$28)*'Erkrankungs- und Strukturdaten'!$E$30)+(I99/'Erkrankungs- und Strukturdaten'!$C$29),0)</f>
        <v>29</v>
      </c>
      <c r="Q99" s="6">
        <f>ROUNDUP((H99/'Erkrankungs- und Strukturdaten'!$C$34*'Erkrankungs- und Strukturdaten'!$E$36)+(H99/'Erkrankungs- und Strukturdaten'!$C$35),0)</f>
        <v>8</v>
      </c>
      <c r="R99" s="6">
        <f>ROUNDUP((I99*'Erkrankungs- und Strukturdaten'!$C$40/'Erkrankungs- und Strukturdaten'!$C$38*'Erkrankungs- und Strukturdaten'!$E$39)+(I99*(1-'Erkrankungs- und Strukturdaten'!$C$40)/'Erkrankungs- und Strukturdaten'!$C$37*'Erkrankungs- und Strukturdaten'!$E$39),0)</f>
        <v>4</v>
      </c>
      <c r="S99" s="52"/>
      <c r="U99" s="44">
        <f>((H99/'Erkrankungs- und Strukturdaten'!$C$25)*'Erkrankungs- und Strukturdaten'!$E$27*'Erkrankungs- und Strukturdaten'!$F$27)+(H99/'Erkrankungs- und Strukturdaten'!$C$26*'Erkrankungs- und Strukturdaten'!$G$27)</f>
        <v>388.76666666666671</v>
      </c>
      <c r="V99" s="44">
        <f>(I99/'Erkrankungs- und Strukturdaten'!$C$28*'Erkrankungs- und Strukturdaten'!$E$30*'Erkrankungs- und Strukturdaten'!$F$30)+(I99/'Erkrankungs- und Strukturdaten'!$C$29*'Erkrankungs- und Strukturdaten'!$G$30)</f>
        <v>230.73142857142858</v>
      </c>
      <c r="AB99" s="2">
        <f t="shared" si="3"/>
        <v>44376</v>
      </c>
    </row>
    <row r="100" spans="1:28" ht="15" x14ac:dyDescent="0.2">
      <c r="A100" s="42">
        <v>91</v>
      </c>
      <c r="B100" s="375"/>
      <c r="C100" s="29">
        <f t="shared" si="4"/>
        <v>44377</v>
      </c>
      <c r="D100" s="30">
        <f>SUMIF('Fallzahlen (Berechnung)'!D:D,"&lt;="&amp;Prognoseergebnis!C100,'Fallzahlen (Berechnung)'!E:E)-'Fallzahlen (Berechnung)'!$E$1</f>
        <v>698897.79656085023</v>
      </c>
      <c r="E100" s="117">
        <f>VLOOKUP(C100,'Fallzahlen (Berechnung)'!$D:$E,'Fallzahlen (Berechnung)'!$E$1,FALSE)</f>
        <v>127.6320201979957</v>
      </c>
      <c r="G100" s="18">
        <v>91</v>
      </c>
      <c r="H100" s="30">
        <f>ROUND('Erkrankungs- und Strukturdaten'!$C$8*D100-IF(G100&gt;'Erkrankungs- und Strukturdaten'!$C$14,VLOOKUP(Prognoseergebnis!G100-ROUNDDOWN('Erkrankungs- und Strukturdaten'!$C$14,0),$A:$D,$D$6,FALSE)*'Erkrankungs- und Strukturdaten'!$C$8,0)
+IF(G100&gt;'Erkrankungs- und Strukturdaten'!$C$15,VLOOKUP(Prognoseergebnis!G100-ROUNDDOWN('Erkrankungs- und Strukturdaten'!$C$15,0),A:D,$D$6,FALSE)*'Erkrankungs- und Strukturdaten'!$C$9,0)
-IF(G100&gt;'Erkrankungs- und Strukturdaten'!$C$15+'Erkrankungs- und Strukturdaten'!$C$16,VLOOKUP(Prognoseergebnis!G100-ROUNDDOWN('Erkrankungs- und Strukturdaten'!$C$15-'Erkrankungs- und Strukturdaten'!$C$16,0),A:D,$D$6,FALSE)*'Erkrankungs- und Strukturdaten'!$C$9,0),0)</f>
        <v>102</v>
      </c>
      <c r="I100" s="30">
        <f>ROUND('Erkrankungs- und Strukturdaten'!$C$9*D100-IF(G100&gt;'Erkrankungs- und Strukturdaten'!$C$15,VLOOKUP(Prognoseergebnis!G100-'Erkrankungs- und Strukturdaten'!$C$15,$A:$D,$D$6,FALSE)*'Erkrankungs- und Strukturdaten'!$C$9,0),0)</f>
        <v>25</v>
      </c>
      <c r="J100" s="30">
        <f>I100*'Erkrankungs- und Strukturdaten'!$C$10/'Erkrankungs- und Strukturdaten'!$C$9</f>
        <v>12.25</v>
      </c>
      <c r="K100" s="30">
        <f>I100*'Erkrankungs- und Strukturdaten'!$C$21</f>
        <v>500</v>
      </c>
      <c r="L100" s="11"/>
      <c r="M100" s="82">
        <f>SUM($K$66:K100)</f>
        <v>50600</v>
      </c>
      <c r="N100" s="9"/>
      <c r="O100" s="30">
        <f>IF(AND(((H100/'Erkrankungs- und Strukturdaten'!$C$25)*'Erkrankungs- und Strukturdaten'!$E$27)+(H100/'Erkrankungs- und Strukturdaten'!$C$26)&lt;1,((H100/'Erkrankungs- und Strukturdaten'!$C$25)*'Erkrankungs- und Strukturdaten'!$E$27)+(H100/'Erkrankungs- und Strukturdaten'!$C$26)&gt;0),1,((H100/'Erkrankungs- und Strukturdaten'!$C$25)*'Erkrankungs- und Strukturdaten'!$E$27)+(H100/'Erkrankungs- und Strukturdaten'!$C$26))</f>
        <v>44.2</v>
      </c>
      <c r="P100" s="30">
        <f>ROUNDUP(((I100/'Erkrankungs- und Strukturdaten'!$C$28)*'Erkrankungs- und Strukturdaten'!$E$30)+(I100/'Erkrankungs- und Strukturdaten'!$C$29),0)</f>
        <v>28</v>
      </c>
      <c r="Q100" s="30">
        <f>ROUNDUP((H100/'Erkrankungs- und Strukturdaten'!$C$34*'Erkrankungs- und Strukturdaten'!$E$36)+(H100/'Erkrankungs- und Strukturdaten'!$C$35),0)</f>
        <v>8</v>
      </c>
      <c r="R100" s="30">
        <f>ROUNDUP((I100*'Erkrankungs- und Strukturdaten'!$C$40/'Erkrankungs- und Strukturdaten'!$C$38*'Erkrankungs- und Strukturdaten'!$E$39)+(I100*(1-'Erkrankungs- und Strukturdaten'!$C$40)/'Erkrankungs- und Strukturdaten'!$C$37*'Erkrankungs- und Strukturdaten'!$E$39),0)</f>
        <v>4</v>
      </c>
      <c r="S100" s="52"/>
      <c r="U100" s="44">
        <f>((H100/'Erkrankungs- und Strukturdaten'!$C$25)*'Erkrankungs- und Strukturdaten'!$E$27*'Erkrankungs- und Strukturdaten'!$F$27)+(H100/'Erkrankungs- und Strukturdaten'!$C$26*'Erkrankungs- und Strukturdaten'!$G$27)</f>
        <v>363.8</v>
      </c>
      <c r="V100" s="44">
        <f>(I100/'Erkrankungs- und Strukturdaten'!$C$28*'Erkrankungs- und Strukturdaten'!$E$30*'Erkrankungs- und Strukturdaten'!$F$30)+(I100/'Erkrankungs- und Strukturdaten'!$C$29*'Erkrankungs- und Strukturdaten'!$G$30)</f>
        <v>221.85714285714286</v>
      </c>
      <c r="AB100" s="2">
        <f t="shared" si="3"/>
        <v>44377</v>
      </c>
    </row>
    <row r="101" spans="1:28" ht="14.85" customHeight="1" x14ac:dyDescent="0.2">
      <c r="A101" s="42">
        <v>92</v>
      </c>
      <c r="B101" s="373" t="s">
        <v>35</v>
      </c>
      <c r="C101" s="76">
        <f t="shared" si="4"/>
        <v>44378</v>
      </c>
      <c r="D101" s="77">
        <f>SUMIF('Fallzahlen (Berechnung)'!D:D,"&lt;="&amp;Prognoseergebnis!C101,'Fallzahlen (Berechnung)'!E:E)-'Fallzahlen (Berechnung)'!$E$1</f>
        <v>698897.79656085023</v>
      </c>
      <c r="E101" s="118" t="e">
        <f>VLOOKUP(C101,'Fallzahlen (Berechnung)'!$D:$E,'Fallzahlen (Berechnung)'!$E$1,FALSE)</f>
        <v>#N/A</v>
      </c>
      <c r="G101" s="18">
        <v>92</v>
      </c>
      <c r="H101" s="77">
        <f>ROUND('Erkrankungs- und Strukturdaten'!$C$8*D101-IF(G101&gt;'Erkrankungs- und Strukturdaten'!$C$14,VLOOKUP(Prognoseergebnis!G101-ROUNDDOWN('Erkrankungs- und Strukturdaten'!$C$14,0),$A:$D,$D$6,FALSE)*'Erkrankungs- und Strukturdaten'!$C$8,0)
+IF(G101&gt;'Erkrankungs- und Strukturdaten'!$C$15,VLOOKUP(Prognoseergebnis!G101-ROUNDDOWN('Erkrankungs- und Strukturdaten'!$C$15,0),A:D,$D$6,FALSE)*'Erkrankungs- und Strukturdaten'!$C$9,0)
-IF(G101&gt;'Erkrankungs- und Strukturdaten'!$C$15+'Erkrankungs- und Strukturdaten'!$C$16,VLOOKUP(Prognoseergebnis!G101-ROUNDDOWN('Erkrankungs- und Strukturdaten'!$C$15-'Erkrankungs- und Strukturdaten'!$C$16,0),A:D,$D$6,FALSE)*'Erkrankungs- und Strukturdaten'!$C$9,0),0)</f>
        <v>84</v>
      </c>
      <c r="I101" s="77">
        <f>ROUND('Erkrankungs- und Strukturdaten'!$C$9*D101-IF(G101&gt;'Erkrankungs- und Strukturdaten'!$C$15,VLOOKUP(Prognoseergebnis!G101-'Erkrankungs- und Strukturdaten'!$C$15,$A:$D,$D$6,FALSE)*'Erkrankungs- und Strukturdaten'!$C$9,0),0)</f>
        <v>22</v>
      </c>
      <c r="J101" s="77">
        <f>I101*'Erkrankungs- und Strukturdaten'!$C$10/'Erkrankungs- und Strukturdaten'!$C$9</f>
        <v>10.78</v>
      </c>
      <c r="K101" s="77">
        <f>I101*'Erkrankungs- und Strukturdaten'!$C$21</f>
        <v>440</v>
      </c>
      <c r="L101" s="11"/>
      <c r="M101" s="82">
        <f>SUM($K$66:K101)</f>
        <v>51040</v>
      </c>
      <c r="N101" s="9"/>
      <c r="O101" s="77">
        <f>IF(AND(((H101/'Erkrankungs- und Strukturdaten'!$C$25)*'Erkrankungs- und Strukturdaten'!$E$27)+(H101/'Erkrankungs- und Strukturdaten'!$C$26)&lt;1,((H101/'Erkrankungs- und Strukturdaten'!$C$25)*'Erkrankungs- und Strukturdaten'!$E$27)+(H101/'Erkrankungs- und Strukturdaten'!$C$26)&gt;0),1,((H101/'Erkrankungs- und Strukturdaten'!$C$25)*'Erkrankungs- und Strukturdaten'!$E$27)+(H101/'Erkrankungs- und Strukturdaten'!$C$26))</f>
        <v>36.4</v>
      </c>
      <c r="P101" s="77">
        <f>ROUNDUP(((I101/'Erkrankungs- und Strukturdaten'!$C$28)*'Erkrankungs- und Strukturdaten'!$E$30)+(I101/'Erkrankungs- und Strukturdaten'!$C$29),0)</f>
        <v>24</v>
      </c>
      <c r="Q101" s="77">
        <f>ROUNDUP((H101/'Erkrankungs- und Strukturdaten'!$C$34*'Erkrankungs- und Strukturdaten'!$E$36)+(H101/'Erkrankungs- und Strukturdaten'!$C$35),0)</f>
        <v>6</v>
      </c>
      <c r="R101" s="77">
        <f>ROUNDUP((I101*'Erkrankungs- und Strukturdaten'!$C$40/'Erkrankungs- und Strukturdaten'!$C$38*'Erkrankungs- und Strukturdaten'!$E$39)+(I101*(1-'Erkrankungs- und Strukturdaten'!$C$40)/'Erkrankungs- und Strukturdaten'!$C$37*'Erkrankungs- und Strukturdaten'!$E$39),0)</f>
        <v>4</v>
      </c>
      <c r="S101" s="52"/>
      <c r="U101" s="44">
        <f>((H101/'Erkrankungs- und Strukturdaten'!$C$25)*'Erkrankungs- und Strukturdaten'!$E$27*'Erkrankungs- und Strukturdaten'!$F$27)+(H101/'Erkrankungs- und Strukturdaten'!$C$26*'Erkrankungs- und Strukturdaten'!$G$27)</f>
        <v>299.60000000000002</v>
      </c>
      <c r="V101" s="44">
        <f>(I101/'Erkrankungs- und Strukturdaten'!$C$28*'Erkrankungs- und Strukturdaten'!$E$30*'Erkrankungs- und Strukturdaten'!$F$30)+(I101/'Erkrankungs- und Strukturdaten'!$C$29*'Erkrankungs- und Strukturdaten'!$G$30)</f>
        <v>195.23428571428573</v>
      </c>
      <c r="AB101" s="2">
        <f t="shared" si="3"/>
        <v>44378</v>
      </c>
    </row>
    <row r="102" spans="1:28" ht="15" x14ac:dyDescent="0.2">
      <c r="A102" s="42">
        <v>93</v>
      </c>
      <c r="B102" s="373"/>
      <c r="C102" s="28">
        <f t="shared" si="4"/>
        <v>44379</v>
      </c>
      <c r="D102" s="5">
        <f>SUMIF('Fallzahlen (Berechnung)'!D:D,"&lt;="&amp;Prognoseergebnis!C102,'Fallzahlen (Berechnung)'!E:E)-'Fallzahlen (Berechnung)'!$E$1</f>
        <v>698897.79656085023</v>
      </c>
      <c r="E102" s="115" t="e">
        <f>VLOOKUP(C102,'Fallzahlen (Berechnung)'!$D:$E,'Fallzahlen (Berechnung)'!$E$1,FALSE)</f>
        <v>#N/A</v>
      </c>
      <c r="G102" s="18">
        <v>93</v>
      </c>
      <c r="H102" s="5">
        <f>ROUND('Erkrankungs- und Strukturdaten'!$C$8*D102-IF(G102&gt;'Erkrankungs- und Strukturdaten'!$C$14,VLOOKUP(Prognoseergebnis!G102-ROUNDDOWN('Erkrankungs- und Strukturdaten'!$C$14,0),$A:$D,$D$6,FALSE)*'Erkrankungs- und Strukturdaten'!$C$8,0)
+IF(G102&gt;'Erkrankungs- und Strukturdaten'!$C$15,VLOOKUP(Prognoseergebnis!G102-ROUNDDOWN('Erkrankungs- und Strukturdaten'!$C$15,0),A:D,$D$6,FALSE)*'Erkrankungs- und Strukturdaten'!$C$9,0)
-IF(G102&gt;'Erkrankungs- und Strukturdaten'!$C$15+'Erkrankungs- und Strukturdaten'!$C$16,VLOOKUP(Prognoseergebnis!G102-ROUNDDOWN('Erkrankungs- und Strukturdaten'!$C$15-'Erkrankungs- und Strukturdaten'!$C$16,0),A:D,$D$6,FALSE)*'Erkrankungs- und Strukturdaten'!$C$9,0),0)</f>
        <v>64</v>
      </c>
      <c r="I102" s="5">
        <f>ROUND('Erkrankungs- und Strukturdaten'!$C$9*D102-IF(G102&gt;'Erkrankungs- und Strukturdaten'!$C$15,VLOOKUP(Prognoseergebnis!G102-'Erkrankungs- und Strukturdaten'!$C$15,$A:$D,$D$6,FALSE)*'Erkrankungs- und Strukturdaten'!$C$9,0),0)</f>
        <v>20</v>
      </c>
      <c r="J102" s="5">
        <f>I102*'Erkrankungs- und Strukturdaten'!$C$10/'Erkrankungs- und Strukturdaten'!$C$9</f>
        <v>9.7999999999999989</v>
      </c>
      <c r="K102" s="5">
        <f>I102*'Erkrankungs- und Strukturdaten'!$C$21</f>
        <v>400</v>
      </c>
      <c r="L102" s="11"/>
      <c r="M102" s="82">
        <f>SUM($K$66:K102)</f>
        <v>51440</v>
      </c>
      <c r="N102" s="9"/>
      <c r="O102" s="5">
        <f>IF(AND(((H102/'Erkrankungs- und Strukturdaten'!$C$25)*'Erkrankungs- und Strukturdaten'!$E$27)+(H102/'Erkrankungs- und Strukturdaten'!$C$26)&lt;1,((H102/'Erkrankungs- und Strukturdaten'!$C$25)*'Erkrankungs- und Strukturdaten'!$E$27)+(H102/'Erkrankungs- und Strukturdaten'!$C$26)&gt;0),1,((H102/'Erkrankungs- und Strukturdaten'!$C$25)*'Erkrankungs- und Strukturdaten'!$E$27)+(H102/'Erkrankungs- und Strukturdaten'!$C$26))</f>
        <v>27.733333333333334</v>
      </c>
      <c r="P102" s="5">
        <f>ROUNDUP(((I102/'Erkrankungs- und Strukturdaten'!$C$28)*'Erkrankungs- und Strukturdaten'!$E$30)+(I102/'Erkrankungs- und Strukturdaten'!$C$29),0)</f>
        <v>22</v>
      </c>
      <c r="Q102" s="5">
        <f>ROUNDUP((H102/'Erkrankungs- und Strukturdaten'!$C$34*'Erkrankungs- und Strukturdaten'!$E$36)+(H102/'Erkrankungs- und Strukturdaten'!$C$35),0)</f>
        <v>5</v>
      </c>
      <c r="R102" s="5">
        <f>ROUNDUP((I102*'Erkrankungs- und Strukturdaten'!$C$40/'Erkrankungs- und Strukturdaten'!$C$38*'Erkrankungs- und Strukturdaten'!$E$39)+(I102*(1-'Erkrankungs- und Strukturdaten'!$C$40)/'Erkrankungs- und Strukturdaten'!$C$37*'Erkrankungs- und Strukturdaten'!$E$39),0)</f>
        <v>3</v>
      </c>
      <c r="S102" s="52"/>
      <c r="U102" s="44">
        <f>((H102/'Erkrankungs- und Strukturdaten'!$C$25)*'Erkrankungs- und Strukturdaten'!$E$27*'Erkrankungs- und Strukturdaten'!$F$27)+(H102/'Erkrankungs- und Strukturdaten'!$C$26*'Erkrankungs- und Strukturdaten'!$G$27)</f>
        <v>228.26666666666665</v>
      </c>
      <c r="V102" s="44">
        <f>(I102/'Erkrankungs- und Strukturdaten'!$C$28*'Erkrankungs- und Strukturdaten'!$E$30*'Erkrankungs- und Strukturdaten'!$F$30)+(I102/'Erkrankungs- und Strukturdaten'!$C$29*'Erkrankungs- und Strukturdaten'!$G$30)</f>
        <v>177.48571428571429</v>
      </c>
      <c r="AB102" s="2">
        <f t="shared" si="3"/>
        <v>44379</v>
      </c>
    </row>
    <row r="103" spans="1:28" ht="15" x14ac:dyDescent="0.2">
      <c r="A103" s="42">
        <v>94</v>
      </c>
      <c r="B103" s="373"/>
      <c r="C103" s="27">
        <f t="shared" si="4"/>
        <v>44380</v>
      </c>
      <c r="D103" s="6">
        <f>SUMIF('Fallzahlen (Berechnung)'!D:D,"&lt;="&amp;Prognoseergebnis!C103,'Fallzahlen (Berechnung)'!E:E)-'Fallzahlen (Berechnung)'!$E$1</f>
        <v>698897.79656085023</v>
      </c>
      <c r="E103" s="114" t="e">
        <f>VLOOKUP(C103,'Fallzahlen (Berechnung)'!$D:$E,'Fallzahlen (Berechnung)'!$E$1,FALSE)</f>
        <v>#N/A</v>
      </c>
      <c r="G103" s="18">
        <v>94</v>
      </c>
      <c r="H103" s="6">
        <f>ROUND('Erkrankungs- und Strukturdaten'!$C$8*D103-IF(G103&gt;'Erkrankungs- und Strukturdaten'!$C$14,VLOOKUP(Prognoseergebnis!G103-ROUNDDOWN('Erkrankungs- und Strukturdaten'!$C$14,0),$A:$D,$D$6,FALSE)*'Erkrankungs- und Strukturdaten'!$C$8,0)
+IF(G103&gt;'Erkrankungs- und Strukturdaten'!$C$15,VLOOKUP(Prognoseergebnis!G103-ROUNDDOWN('Erkrankungs- und Strukturdaten'!$C$15,0),A:D,$D$6,FALSE)*'Erkrankungs- und Strukturdaten'!$C$9,0)
-IF(G103&gt;'Erkrankungs- und Strukturdaten'!$C$15+'Erkrankungs- und Strukturdaten'!$C$16,VLOOKUP(Prognoseergebnis!G103-ROUNDDOWN('Erkrankungs- und Strukturdaten'!$C$15-'Erkrankungs- und Strukturdaten'!$C$16,0),A:D,$D$6,FALSE)*'Erkrankungs- und Strukturdaten'!$C$9,0),0)</f>
        <v>52</v>
      </c>
      <c r="I103" s="6">
        <f>ROUND('Erkrankungs- und Strukturdaten'!$C$9*D103-IF(G103&gt;'Erkrankungs- und Strukturdaten'!$C$15,VLOOKUP(Prognoseergebnis!G103-'Erkrankungs- und Strukturdaten'!$C$15,$A:$D,$D$6,FALSE)*'Erkrankungs- und Strukturdaten'!$C$9,0),0)</f>
        <v>18</v>
      </c>
      <c r="J103" s="6">
        <f>I103*'Erkrankungs- und Strukturdaten'!$C$10/'Erkrankungs- und Strukturdaten'!$C$9</f>
        <v>8.82</v>
      </c>
      <c r="K103" s="6">
        <f>I103*'Erkrankungs- und Strukturdaten'!$C$21</f>
        <v>360</v>
      </c>
      <c r="L103" s="11"/>
      <c r="M103" s="82">
        <f>SUM($K$66:K103)</f>
        <v>51800</v>
      </c>
      <c r="N103" s="9"/>
      <c r="O103" s="6">
        <f>IF(AND(((H103/'Erkrankungs- und Strukturdaten'!$C$25)*'Erkrankungs- und Strukturdaten'!$E$27)+(H103/'Erkrankungs- und Strukturdaten'!$C$26)&lt;1,((H103/'Erkrankungs- und Strukturdaten'!$C$25)*'Erkrankungs- und Strukturdaten'!$E$27)+(H103/'Erkrankungs- und Strukturdaten'!$C$26)&gt;0),1,((H103/'Erkrankungs- und Strukturdaten'!$C$25)*'Erkrankungs- und Strukturdaten'!$E$27)+(H103/'Erkrankungs- und Strukturdaten'!$C$26))</f>
        <v>22.533333333333331</v>
      </c>
      <c r="P103" s="6">
        <f>ROUNDUP(((I103/'Erkrankungs- und Strukturdaten'!$C$28)*'Erkrankungs- und Strukturdaten'!$E$30)+(I103/'Erkrankungs- und Strukturdaten'!$C$29),0)</f>
        <v>20</v>
      </c>
      <c r="Q103" s="6">
        <f>ROUNDUP((H103/'Erkrankungs- und Strukturdaten'!$C$34*'Erkrankungs- und Strukturdaten'!$E$36)+(H103/'Erkrankungs- und Strukturdaten'!$C$35),0)</f>
        <v>4</v>
      </c>
      <c r="R103" s="6">
        <f>ROUNDUP((I103*'Erkrankungs- und Strukturdaten'!$C$40/'Erkrankungs- und Strukturdaten'!$C$38*'Erkrankungs- und Strukturdaten'!$E$39)+(I103*(1-'Erkrankungs- und Strukturdaten'!$C$40)/'Erkrankungs- und Strukturdaten'!$C$37*'Erkrankungs- und Strukturdaten'!$E$39),0)</f>
        <v>3</v>
      </c>
      <c r="S103" s="52"/>
      <c r="U103" s="44">
        <f>((H103/'Erkrankungs- und Strukturdaten'!$C$25)*'Erkrankungs- und Strukturdaten'!$E$27*'Erkrankungs- und Strukturdaten'!$F$27)+(H103/'Erkrankungs- und Strukturdaten'!$C$26*'Erkrankungs- und Strukturdaten'!$G$27)</f>
        <v>185.46666666666667</v>
      </c>
      <c r="V103" s="44">
        <f>(I103/'Erkrankungs- und Strukturdaten'!$C$28*'Erkrankungs- und Strukturdaten'!$E$30*'Erkrankungs- und Strukturdaten'!$F$30)+(I103/'Erkrankungs- und Strukturdaten'!$C$29*'Erkrankungs- und Strukturdaten'!$G$30)</f>
        <v>159.73714285714289</v>
      </c>
      <c r="AB103" s="2">
        <f t="shared" si="3"/>
        <v>44380</v>
      </c>
    </row>
    <row r="104" spans="1:28" ht="15" x14ac:dyDescent="0.2">
      <c r="A104" s="42">
        <v>95</v>
      </c>
      <c r="B104" s="373"/>
      <c r="C104" s="28">
        <f t="shared" si="4"/>
        <v>44381</v>
      </c>
      <c r="D104" s="5">
        <f>SUMIF('Fallzahlen (Berechnung)'!D:D,"&lt;="&amp;Prognoseergebnis!C104,'Fallzahlen (Berechnung)'!E:E)-'Fallzahlen (Berechnung)'!$E$1</f>
        <v>698897.79656085023</v>
      </c>
      <c r="E104" s="115" t="e">
        <f>VLOOKUP(C104,'Fallzahlen (Berechnung)'!$D:$E,'Fallzahlen (Berechnung)'!$E$1,FALSE)</f>
        <v>#N/A</v>
      </c>
      <c r="G104" s="18">
        <v>95</v>
      </c>
      <c r="H104" s="5">
        <f>ROUND('Erkrankungs- und Strukturdaten'!$C$8*D104-IF(G104&gt;'Erkrankungs- und Strukturdaten'!$C$14,VLOOKUP(Prognoseergebnis!G104-ROUNDDOWN('Erkrankungs- und Strukturdaten'!$C$14,0),$A:$D,$D$6,FALSE)*'Erkrankungs- und Strukturdaten'!$C$8,0)
+IF(G104&gt;'Erkrankungs- und Strukturdaten'!$C$15,VLOOKUP(Prognoseergebnis!G104-ROUNDDOWN('Erkrankungs- und Strukturdaten'!$C$15,0),A:D,$D$6,FALSE)*'Erkrankungs- und Strukturdaten'!$C$9,0)
-IF(G104&gt;'Erkrankungs- und Strukturdaten'!$C$15+'Erkrankungs- und Strukturdaten'!$C$16,VLOOKUP(Prognoseergebnis!G104-ROUNDDOWN('Erkrankungs- und Strukturdaten'!$C$15-'Erkrankungs- und Strukturdaten'!$C$16,0),A:D,$D$6,FALSE)*'Erkrankungs- und Strukturdaten'!$C$9,0),0)</f>
        <v>43</v>
      </c>
      <c r="I104" s="5">
        <f>ROUND('Erkrankungs- und Strukturdaten'!$C$9*D104-IF(G104&gt;'Erkrankungs- und Strukturdaten'!$C$15,VLOOKUP(Prognoseergebnis!G104-'Erkrankungs- und Strukturdaten'!$C$15,$A:$D,$D$6,FALSE)*'Erkrankungs- und Strukturdaten'!$C$9,0),0)</f>
        <v>16</v>
      </c>
      <c r="J104" s="5">
        <f>I104*'Erkrankungs- und Strukturdaten'!$C$10/'Erkrankungs- und Strukturdaten'!$C$9</f>
        <v>7.84</v>
      </c>
      <c r="K104" s="5">
        <f>I104*'Erkrankungs- und Strukturdaten'!$C$21</f>
        <v>320</v>
      </c>
      <c r="L104" s="11"/>
      <c r="M104" s="82">
        <f>SUM($K$66:K104)</f>
        <v>52120</v>
      </c>
      <c r="N104" s="9"/>
      <c r="O104" s="5">
        <f>IF(AND(((H104/'Erkrankungs- und Strukturdaten'!$C$25)*'Erkrankungs- und Strukturdaten'!$E$27)+(H104/'Erkrankungs- und Strukturdaten'!$C$26)&lt;1,((H104/'Erkrankungs- und Strukturdaten'!$C$25)*'Erkrankungs- und Strukturdaten'!$E$27)+(H104/'Erkrankungs- und Strukturdaten'!$C$26)&gt;0),1,((H104/'Erkrankungs- und Strukturdaten'!$C$25)*'Erkrankungs- und Strukturdaten'!$E$27)+(H104/'Erkrankungs- und Strukturdaten'!$C$26))</f>
        <v>18.633333333333333</v>
      </c>
      <c r="P104" s="5">
        <f>ROUNDUP(((I104/'Erkrankungs- und Strukturdaten'!$C$28)*'Erkrankungs- und Strukturdaten'!$E$30)+(I104/'Erkrankungs- und Strukturdaten'!$C$29),0)</f>
        <v>18</v>
      </c>
      <c r="Q104" s="5">
        <f>ROUNDUP((H104/'Erkrankungs- und Strukturdaten'!$C$34*'Erkrankungs- und Strukturdaten'!$E$36)+(H104/'Erkrankungs- und Strukturdaten'!$C$35),0)</f>
        <v>3</v>
      </c>
      <c r="R104" s="5">
        <f>ROUNDUP((I104*'Erkrankungs- und Strukturdaten'!$C$40/'Erkrankungs- und Strukturdaten'!$C$38*'Erkrankungs- und Strukturdaten'!$E$39)+(I104*(1-'Erkrankungs- und Strukturdaten'!$C$40)/'Erkrankungs- und Strukturdaten'!$C$37*'Erkrankungs- und Strukturdaten'!$E$39),0)</f>
        <v>3</v>
      </c>
      <c r="S104" s="52"/>
      <c r="U104" s="44">
        <f>((H104/'Erkrankungs- und Strukturdaten'!$C$25)*'Erkrankungs- und Strukturdaten'!$E$27*'Erkrankungs- und Strukturdaten'!$F$27)+(H104/'Erkrankungs- und Strukturdaten'!$C$26*'Erkrankungs- und Strukturdaten'!$G$27)</f>
        <v>153.36666666666667</v>
      </c>
      <c r="V104" s="44">
        <f>(I104/'Erkrankungs- und Strukturdaten'!$C$28*'Erkrankungs- und Strukturdaten'!$E$30*'Erkrankungs- und Strukturdaten'!$F$30)+(I104/'Erkrankungs- und Strukturdaten'!$C$29*'Erkrankungs- und Strukturdaten'!$G$30)</f>
        <v>141.98857142857142</v>
      </c>
      <c r="AB104" s="2">
        <f t="shared" si="3"/>
        <v>44381</v>
      </c>
    </row>
    <row r="105" spans="1:28" ht="15" x14ac:dyDescent="0.2">
      <c r="A105" s="42">
        <v>96</v>
      </c>
      <c r="B105" s="373"/>
      <c r="C105" s="27">
        <f t="shared" si="4"/>
        <v>44382</v>
      </c>
      <c r="D105" s="6">
        <f>SUMIF('Fallzahlen (Berechnung)'!D:D,"&lt;="&amp;Prognoseergebnis!C105,'Fallzahlen (Berechnung)'!E:E)-'Fallzahlen (Berechnung)'!$E$1</f>
        <v>698897.79656085023</v>
      </c>
      <c r="E105" s="114" t="e">
        <f>VLOOKUP(C105,'Fallzahlen (Berechnung)'!$D:$E,'Fallzahlen (Berechnung)'!$E$1,FALSE)</f>
        <v>#N/A</v>
      </c>
      <c r="G105" s="18">
        <v>96</v>
      </c>
      <c r="H105" s="6">
        <f>ROUND('Erkrankungs- und Strukturdaten'!$C$8*D105-IF(G105&gt;'Erkrankungs- und Strukturdaten'!$C$14,VLOOKUP(Prognoseergebnis!G105-ROUNDDOWN('Erkrankungs- und Strukturdaten'!$C$14,0),$A:$D,$D$6,FALSE)*'Erkrankungs- und Strukturdaten'!$C$8,0)
+IF(G105&gt;'Erkrankungs- und Strukturdaten'!$C$15,VLOOKUP(Prognoseergebnis!G105-ROUNDDOWN('Erkrankungs- und Strukturdaten'!$C$15,0),A:D,$D$6,FALSE)*'Erkrankungs- und Strukturdaten'!$C$9,0)
-IF(G105&gt;'Erkrankungs- und Strukturdaten'!$C$15+'Erkrankungs- und Strukturdaten'!$C$16,VLOOKUP(Prognoseergebnis!G105-ROUNDDOWN('Erkrankungs- und Strukturdaten'!$C$15-'Erkrankungs- und Strukturdaten'!$C$16,0),A:D,$D$6,FALSE)*'Erkrankungs- und Strukturdaten'!$C$9,0),0)</f>
        <v>24</v>
      </c>
      <c r="I105" s="6">
        <f>ROUND('Erkrankungs- und Strukturdaten'!$C$9*D105-IF(G105&gt;'Erkrankungs- und Strukturdaten'!$C$15,VLOOKUP(Prognoseergebnis!G105-'Erkrankungs- und Strukturdaten'!$C$15,$A:$D,$D$6,FALSE)*'Erkrankungs- und Strukturdaten'!$C$9,0),0)</f>
        <v>15</v>
      </c>
      <c r="J105" s="6">
        <f>I105*'Erkrankungs- und Strukturdaten'!$C$10/'Erkrankungs- und Strukturdaten'!$C$9</f>
        <v>7.35</v>
      </c>
      <c r="K105" s="6">
        <f>I105*'Erkrankungs- und Strukturdaten'!$C$21</f>
        <v>300</v>
      </c>
      <c r="L105" s="11"/>
      <c r="M105" s="82">
        <f>SUM($K$66:K105)</f>
        <v>52420</v>
      </c>
      <c r="N105" s="9"/>
      <c r="O105" s="6">
        <f>IF(AND(((H105/'Erkrankungs- und Strukturdaten'!$C$25)*'Erkrankungs- und Strukturdaten'!$E$27)+(H105/'Erkrankungs- und Strukturdaten'!$C$26)&lt;1,((H105/'Erkrankungs- und Strukturdaten'!$C$25)*'Erkrankungs- und Strukturdaten'!$E$27)+(H105/'Erkrankungs- und Strukturdaten'!$C$26)&gt;0),1,((H105/'Erkrankungs- und Strukturdaten'!$C$25)*'Erkrankungs- und Strukturdaten'!$E$27)+(H105/'Erkrankungs- und Strukturdaten'!$C$26))</f>
        <v>10.4</v>
      </c>
      <c r="P105" s="6">
        <f>ROUNDUP(((I105/'Erkrankungs- und Strukturdaten'!$C$28)*'Erkrankungs- und Strukturdaten'!$E$30)+(I105/'Erkrankungs- und Strukturdaten'!$C$29),0)</f>
        <v>17</v>
      </c>
      <c r="Q105" s="6">
        <f>ROUNDUP((H105/'Erkrankungs- und Strukturdaten'!$C$34*'Erkrankungs- und Strukturdaten'!$E$36)+(H105/'Erkrankungs- und Strukturdaten'!$C$35),0)</f>
        <v>2</v>
      </c>
      <c r="R105" s="6">
        <f>ROUNDUP((I105*'Erkrankungs- und Strukturdaten'!$C$40/'Erkrankungs- und Strukturdaten'!$C$38*'Erkrankungs- und Strukturdaten'!$E$39)+(I105*(1-'Erkrankungs- und Strukturdaten'!$C$40)/'Erkrankungs- und Strukturdaten'!$C$37*'Erkrankungs- und Strukturdaten'!$E$39),0)</f>
        <v>3</v>
      </c>
      <c r="S105" s="52"/>
      <c r="U105" s="44">
        <f>((H105/'Erkrankungs- und Strukturdaten'!$C$25)*'Erkrankungs- und Strukturdaten'!$E$27*'Erkrankungs- und Strukturdaten'!$F$27)+(H105/'Erkrankungs- und Strukturdaten'!$C$26*'Erkrankungs- und Strukturdaten'!$G$27)</f>
        <v>85.6</v>
      </c>
      <c r="V105" s="44">
        <f>(I105/'Erkrankungs- und Strukturdaten'!$C$28*'Erkrankungs- und Strukturdaten'!$E$30*'Erkrankungs- und Strukturdaten'!$F$30)+(I105/'Erkrankungs- und Strukturdaten'!$C$29*'Erkrankungs- und Strukturdaten'!$G$30)</f>
        <v>133.11428571428573</v>
      </c>
      <c r="AB105" s="2">
        <f t="shared" si="3"/>
        <v>44382</v>
      </c>
    </row>
    <row r="106" spans="1:28" ht="15" x14ac:dyDescent="0.2">
      <c r="A106" s="42">
        <v>97</v>
      </c>
      <c r="B106" s="373"/>
      <c r="C106" s="28">
        <f t="shared" si="4"/>
        <v>44383</v>
      </c>
      <c r="D106" s="5">
        <f>SUMIF('Fallzahlen (Berechnung)'!D:D,"&lt;="&amp;Prognoseergebnis!C106,'Fallzahlen (Berechnung)'!E:E)-'Fallzahlen (Berechnung)'!$E$1</f>
        <v>698897.79656085023</v>
      </c>
      <c r="E106" s="115" t="e">
        <f>VLOOKUP(C106,'Fallzahlen (Berechnung)'!$D:$E,'Fallzahlen (Berechnung)'!$E$1,FALSE)</f>
        <v>#N/A</v>
      </c>
      <c r="G106" s="18">
        <v>97</v>
      </c>
      <c r="H106" s="5">
        <f>ROUND('Erkrankungs- und Strukturdaten'!$C$8*D106-IF(G106&gt;'Erkrankungs- und Strukturdaten'!$C$14,VLOOKUP(Prognoseergebnis!G106-ROUNDDOWN('Erkrankungs- und Strukturdaten'!$C$14,0),$A:$D,$D$6,FALSE)*'Erkrankungs- und Strukturdaten'!$C$8,0)
+IF(G106&gt;'Erkrankungs- und Strukturdaten'!$C$15,VLOOKUP(Prognoseergebnis!G106-ROUNDDOWN('Erkrankungs- und Strukturdaten'!$C$15,0),A:D,$D$6,FALSE)*'Erkrankungs- und Strukturdaten'!$C$9,0)
-IF(G106&gt;'Erkrankungs- und Strukturdaten'!$C$15+'Erkrankungs- und Strukturdaten'!$C$16,VLOOKUP(Prognoseergebnis!G106-ROUNDDOWN('Erkrankungs- und Strukturdaten'!$C$15-'Erkrankungs- und Strukturdaten'!$C$16,0),A:D,$D$6,FALSE)*'Erkrankungs- und Strukturdaten'!$C$9,0),0)</f>
        <v>9</v>
      </c>
      <c r="I106" s="5">
        <f>ROUND('Erkrankungs- und Strukturdaten'!$C$9*D106-IF(G106&gt;'Erkrankungs- und Strukturdaten'!$C$15,VLOOKUP(Prognoseergebnis!G106-'Erkrankungs- und Strukturdaten'!$C$15,$A:$D,$D$6,FALSE)*'Erkrankungs- und Strukturdaten'!$C$9,0),0)</f>
        <v>13</v>
      </c>
      <c r="J106" s="5">
        <f>I106*'Erkrankungs- und Strukturdaten'!$C$10/'Erkrankungs- und Strukturdaten'!$C$9</f>
        <v>6.3699999999999992</v>
      </c>
      <c r="K106" s="5">
        <f>I106*'Erkrankungs- und Strukturdaten'!$C$21</f>
        <v>260</v>
      </c>
      <c r="L106" s="11"/>
      <c r="M106" s="82">
        <f>SUM($K$66:K106)</f>
        <v>52680</v>
      </c>
      <c r="N106" s="9"/>
      <c r="O106" s="5">
        <f>IF(AND(((H106/'Erkrankungs- und Strukturdaten'!$C$25)*'Erkrankungs- und Strukturdaten'!$E$27)+(H106/'Erkrankungs- und Strukturdaten'!$C$26)&lt;1,((H106/'Erkrankungs- und Strukturdaten'!$C$25)*'Erkrankungs- und Strukturdaten'!$E$27)+(H106/'Erkrankungs- und Strukturdaten'!$C$26)&gt;0),1,((H106/'Erkrankungs- und Strukturdaten'!$C$25)*'Erkrankungs- und Strukturdaten'!$E$27)+(H106/'Erkrankungs- und Strukturdaten'!$C$26))</f>
        <v>3.9</v>
      </c>
      <c r="P106" s="5">
        <f>ROUNDUP(((I106/'Erkrankungs- und Strukturdaten'!$C$28)*'Erkrankungs- und Strukturdaten'!$E$30)+(I106/'Erkrankungs- und Strukturdaten'!$C$29),0)</f>
        <v>15</v>
      </c>
      <c r="Q106" s="5">
        <f>ROUNDUP((H106/'Erkrankungs- und Strukturdaten'!$C$34*'Erkrankungs- und Strukturdaten'!$E$36)+(H106/'Erkrankungs- und Strukturdaten'!$C$35),0)</f>
        <v>1</v>
      </c>
      <c r="R106" s="5">
        <f>ROUNDUP((I106*'Erkrankungs- und Strukturdaten'!$C$40/'Erkrankungs- und Strukturdaten'!$C$38*'Erkrankungs- und Strukturdaten'!$E$39)+(I106*(1-'Erkrankungs- und Strukturdaten'!$C$40)/'Erkrankungs- und Strukturdaten'!$C$37*'Erkrankungs- und Strukturdaten'!$E$39),0)</f>
        <v>2</v>
      </c>
      <c r="S106" s="52"/>
      <c r="U106" s="44">
        <f>((H106/'Erkrankungs- und Strukturdaten'!$C$25)*'Erkrankungs- und Strukturdaten'!$E$27*'Erkrankungs- und Strukturdaten'!$F$27)+(H106/'Erkrankungs- und Strukturdaten'!$C$26*'Erkrankungs- und Strukturdaten'!$G$27)</f>
        <v>32.1</v>
      </c>
      <c r="V106" s="44">
        <f>(I106/'Erkrankungs- und Strukturdaten'!$C$28*'Erkrankungs- und Strukturdaten'!$E$30*'Erkrankungs- und Strukturdaten'!$F$30)+(I106/'Erkrankungs- und Strukturdaten'!$C$29*'Erkrankungs- und Strukturdaten'!$G$30)</f>
        <v>115.36571428571429</v>
      </c>
      <c r="AB106" s="2">
        <f t="shared" si="3"/>
        <v>44383</v>
      </c>
    </row>
    <row r="107" spans="1:28" ht="15" x14ac:dyDescent="0.2">
      <c r="A107" s="42">
        <v>98</v>
      </c>
      <c r="B107" s="373"/>
      <c r="C107" s="73">
        <f t="shared" si="4"/>
        <v>44384</v>
      </c>
      <c r="D107" s="74">
        <f>SUMIF('Fallzahlen (Berechnung)'!D:D,"&lt;="&amp;Prognoseergebnis!C107,'Fallzahlen (Berechnung)'!E:E)-'Fallzahlen (Berechnung)'!$E$1</f>
        <v>698897.79656085023</v>
      </c>
      <c r="E107" s="119" t="e">
        <f>VLOOKUP(C107,'Fallzahlen (Berechnung)'!$D:$E,'Fallzahlen (Berechnung)'!$E$1,FALSE)</f>
        <v>#N/A</v>
      </c>
      <c r="G107" s="18">
        <v>98</v>
      </c>
      <c r="H107" s="74">
        <f>ROUND('Erkrankungs- und Strukturdaten'!$C$8*D107-IF(G107&gt;'Erkrankungs- und Strukturdaten'!$C$14,VLOOKUP(Prognoseergebnis!G107-ROUNDDOWN('Erkrankungs- und Strukturdaten'!$C$14,0),$A:$D,$D$6,FALSE)*'Erkrankungs- und Strukturdaten'!$C$8,0)
+IF(G107&gt;'Erkrankungs- und Strukturdaten'!$C$15,VLOOKUP(Prognoseergebnis!G107-ROUNDDOWN('Erkrankungs- und Strukturdaten'!$C$15,0),A:D,$D$6,FALSE)*'Erkrankungs- und Strukturdaten'!$C$9,0)
-IF(G107&gt;'Erkrankungs- und Strukturdaten'!$C$15+'Erkrankungs- und Strukturdaten'!$C$16,VLOOKUP(Prognoseergebnis!G107-ROUNDDOWN('Erkrankungs- und Strukturdaten'!$C$15-'Erkrankungs- und Strukturdaten'!$C$16,0),A:D,$D$6,FALSE)*'Erkrankungs- und Strukturdaten'!$C$9,0),0)</f>
        <v>-8</v>
      </c>
      <c r="I107" s="74">
        <f>ROUND('Erkrankungs- und Strukturdaten'!$C$9*D107-IF(G107&gt;'Erkrankungs- und Strukturdaten'!$C$15,VLOOKUP(Prognoseergebnis!G107-'Erkrankungs- und Strukturdaten'!$C$15,$A:$D,$D$6,FALSE)*'Erkrankungs- und Strukturdaten'!$C$9,0),0)</f>
        <v>11</v>
      </c>
      <c r="J107" s="74">
        <f>I107*'Erkrankungs- und Strukturdaten'!$C$10/'Erkrankungs- und Strukturdaten'!$C$9</f>
        <v>5.39</v>
      </c>
      <c r="K107" s="74">
        <f>I107*'Erkrankungs- und Strukturdaten'!$C$21</f>
        <v>220</v>
      </c>
      <c r="L107" s="11"/>
      <c r="M107" s="82">
        <f>SUM($K$66:K107)</f>
        <v>52900</v>
      </c>
      <c r="N107" s="9"/>
      <c r="O107" s="74">
        <f>IF(AND(((H107/'Erkrankungs- und Strukturdaten'!$C$25)*'Erkrankungs- und Strukturdaten'!$E$27)+(H107/'Erkrankungs- und Strukturdaten'!$C$26)&lt;1,((H107/'Erkrankungs- und Strukturdaten'!$C$25)*'Erkrankungs- und Strukturdaten'!$E$27)+(H107/'Erkrankungs- und Strukturdaten'!$C$26)&gt;0),1,((H107/'Erkrankungs- und Strukturdaten'!$C$25)*'Erkrankungs- und Strukturdaten'!$E$27)+(H107/'Erkrankungs- und Strukturdaten'!$C$26))</f>
        <v>-3.4666666666666668</v>
      </c>
      <c r="P107" s="74">
        <f>ROUNDUP(((I107/'Erkrankungs- und Strukturdaten'!$C$28)*'Erkrankungs- und Strukturdaten'!$E$30)+(I107/'Erkrankungs- und Strukturdaten'!$C$29),0)</f>
        <v>12</v>
      </c>
      <c r="Q107" s="74">
        <f>ROUNDUP((H107/'Erkrankungs- und Strukturdaten'!$C$34*'Erkrankungs- und Strukturdaten'!$E$36)+(H107/'Erkrankungs- und Strukturdaten'!$C$35),0)</f>
        <v>-1</v>
      </c>
      <c r="R107" s="74">
        <f>ROUNDUP((I107*'Erkrankungs- und Strukturdaten'!$C$40/'Erkrankungs- und Strukturdaten'!$C$38*'Erkrankungs- und Strukturdaten'!$E$39)+(I107*(1-'Erkrankungs- und Strukturdaten'!$C$40)/'Erkrankungs- und Strukturdaten'!$C$37*'Erkrankungs- und Strukturdaten'!$E$39),0)</f>
        <v>2</v>
      </c>
      <c r="S107" s="52"/>
      <c r="U107" s="44">
        <f>((H107/'Erkrankungs- und Strukturdaten'!$C$25)*'Erkrankungs- und Strukturdaten'!$E$27*'Erkrankungs- und Strukturdaten'!$F$27)+(H107/'Erkrankungs- und Strukturdaten'!$C$26*'Erkrankungs- und Strukturdaten'!$G$27)</f>
        <v>-28.533333333333331</v>
      </c>
      <c r="V107" s="44">
        <f>(I107/'Erkrankungs- und Strukturdaten'!$C$28*'Erkrankungs- und Strukturdaten'!$E$30*'Erkrankungs- und Strukturdaten'!$F$30)+(I107/'Erkrankungs- und Strukturdaten'!$C$29*'Erkrankungs- und Strukturdaten'!$G$30)</f>
        <v>97.617142857142866</v>
      </c>
      <c r="AB107" s="2">
        <f t="shared" si="3"/>
        <v>44384</v>
      </c>
    </row>
    <row r="108" spans="1:28" ht="14.85" customHeight="1" x14ac:dyDescent="0.2">
      <c r="A108" s="42">
        <v>99</v>
      </c>
      <c r="B108" s="375" t="s">
        <v>36</v>
      </c>
      <c r="C108" s="78">
        <f t="shared" si="4"/>
        <v>44385</v>
      </c>
      <c r="D108" s="4">
        <f>SUMIF('Fallzahlen (Berechnung)'!D:D,"&lt;="&amp;Prognoseergebnis!C108,'Fallzahlen (Berechnung)'!E:E)-'Fallzahlen (Berechnung)'!$E$1</f>
        <v>698897.79656085023</v>
      </c>
      <c r="E108" s="116" t="e">
        <f>VLOOKUP(C108,'Fallzahlen (Berechnung)'!$D:$E,'Fallzahlen (Berechnung)'!$E$1,FALSE)</f>
        <v>#N/A</v>
      </c>
      <c r="G108" s="18">
        <v>99</v>
      </c>
      <c r="H108" s="4">
        <f>ROUND('Erkrankungs- und Strukturdaten'!$C$8*D108-IF(G108&gt;'Erkrankungs- und Strukturdaten'!$C$14,VLOOKUP(Prognoseergebnis!G108-ROUNDDOWN('Erkrankungs- und Strukturdaten'!$C$14,0),$A:$D,$D$6,FALSE)*'Erkrankungs- und Strukturdaten'!$C$8,0)
+IF(G108&gt;'Erkrankungs- und Strukturdaten'!$C$15,VLOOKUP(Prognoseergebnis!G108-ROUNDDOWN('Erkrankungs- und Strukturdaten'!$C$15,0),A:D,$D$6,FALSE)*'Erkrankungs- und Strukturdaten'!$C$9,0)
-IF(G108&gt;'Erkrankungs- und Strukturdaten'!$C$15+'Erkrankungs- und Strukturdaten'!$C$16,VLOOKUP(Prognoseergebnis!G108-ROUNDDOWN('Erkrankungs- und Strukturdaten'!$C$15-'Erkrankungs- und Strukturdaten'!$C$16,0),A:D,$D$6,FALSE)*'Erkrankungs- und Strukturdaten'!$C$9,0),0)</f>
        <v>-8</v>
      </c>
      <c r="I108" s="4">
        <f>ROUND('Erkrankungs- und Strukturdaten'!$C$9*D108-IF(G108&gt;'Erkrankungs- und Strukturdaten'!$C$15,VLOOKUP(Prognoseergebnis!G108-'Erkrankungs- und Strukturdaten'!$C$15,$A:$D,$D$6,FALSE)*'Erkrankungs- und Strukturdaten'!$C$9,0),0)</f>
        <v>9</v>
      </c>
      <c r="J108" s="4">
        <f>I108*'Erkrankungs- und Strukturdaten'!$C$10/'Erkrankungs- und Strukturdaten'!$C$9</f>
        <v>4.41</v>
      </c>
      <c r="K108" s="4">
        <f>I108*'Erkrankungs- und Strukturdaten'!$C$21</f>
        <v>180</v>
      </c>
      <c r="L108" s="11"/>
      <c r="M108" s="82">
        <f>SUM($K$66:K108)</f>
        <v>53080</v>
      </c>
      <c r="N108" s="9"/>
      <c r="O108" s="4">
        <f>IF(AND(((H108/'Erkrankungs- und Strukturdaten'!$C$25)*'Erkrankungs- und Strukturdaten'!$E$27)+(H108/'Erkrankungs- und Strukturdaten'!$C$26)&lt;1,((H108/'Erkrankungs- und Strukturdaten'!$C$25)*'Erkrankungs- und Strukturdaten'!$E$27)+(H108/'Erkrankungs- und Strukturdaten'!$C$26)&gt;0),1,((H108/'Erkrankungs- und Strukturdaten'!$C$25)*'Erkrankungs- und Strukturdaten'!$E$27)+(H108/'Erkrankungs- und Strukturdaten'!$C$26))</f>
        <v>-3.4666666666666668</v>
      </c>
      <c r="P108" s="4">
        <f>ROUNDUP(((I108/'Erkrankungs- und Strukturdaten'!$C$28)*'Erkrankungs- und Strukturdaten'!$E$30)+(I108/'Erkrankungs- und Strukturdaten'!$C$29),0)</f>
        <v>10</v>
      </c>
      <c r="Q108" s="4">
        <f>ROUNDUP((H108/'Erkrankungs- und Strukturdaten'!$C$34*'Erkrankungs- und Strukturdaten'!$E$36)+(H108/'Erkrankungs- und Strukturdaten'!$C$35),0)</f>
        <v>-1</v>
      </c>
      <c r="R108" s="4">
        <f>ROUNDUP((I108*'Erkrankungs- und Strukturdaten'!$C$40/'Erkrankungs- und Strukturdaten'!$C$38*'Erkrankungs- und Strukturdaten'!$E$39)+(I108*(1-'Erkrankungs- und Strukturdaten'!$C$40)/'Erkrankungs- und Strukturdaten'!$C$37*'Erkrankungs- und Strukturdaten'!$E$39),0)</f>
        <v>2</v>
      </c>
      <c r="S108" s="52"/>
      <c r="U108" s="44">
        <f>((H108/'Erkrankungs- und Strukturdaten'!$C$25)*'Erkrankungs- und Strukturdaten'!$E$27*'Erkrankungs- und Strukturdaten'!$F$27)+(H108/'Erkrankungs- und Strukturdaten'!$C$26*'Erkrankungs- und Strukturdaten'!$G$27)</f>
        <v>-28.533333333333331</v>
      </c>
      <c r="V108" s="44">
        <f>(I108/'Erkrankungs- und Strukturdaten'!$C$28*'Erkrankungs- und Strukturdaten'!$E$30*'Erkrankungs- und Strukturdaten'!$F$30)+(I108/'Erkrankungs- und Strukturdaten'!$C$29*'Erkrankungs- und Strukturdaten'!$G$30)</f>
        <v>79.868571428571443</v>
      </c>
      <c r="AB108" s="2">
        <f t="shared" si="3"/>
        <v>44385</v>
      </c>
    </row>
    <row r="109" spans="1:28" ht="15" x14ac:dyDescent="0.2">
      <c r="A109" s="42">
        <v>100</v>
      </c>
      <c r="B109" s="375"/>
      <c r="C109" s="27">
        <f t="shared" si="4"/>
        <v>44386</v>
      </c>
      <c r="D109" s="6">
        <f>SUMIF('Fallzahlen (Berechnung)'!D:D,"&lt;="&amp;Prognoseergebnis!C109,'Fallzahlen (Berechnung)'!E:E)-'Fallzahlen (Berechnung)'!$E$1</f>
        <v>698897.79656085023</v>
      </c>
      <c r="E109" s="114" t="e">
        <f>VLOOKUP(C109,'Fallzahlen (Berechnung)'!$D:$E,'Fallzahlen (Berechnung)'!$E$1,FALSE)</f>
        <v>#N/A</v>
      </c>
      <c r="G109" s="18">
        <v>100</v>
      </c>
      <c r="H109" s="6">
        <f>ROUND('Erkrankungs- und Strukturdaten'!$C$8*D109-IF(G109&gt;'Erkrankungs- und Strukturdaten'!$C$14,VLOOKUP(Prognoseergebnis!G109-ROUNDDOWN('Erkrankungs- und Strukturdaten'!$C$14,0),$A:$D,$D$6,FALSE)*'Erkrankungs- und Strukturdaten'!$C$8,0)
+IF(G109&gt;'Erkrankungs- und Strukturdaten'!$C$15,VLOOKUP(Prognoseergebnis!G109-ROUNDDOWN('Erkrankungs- und Strukturdaten'!$C$15,0),A:D,$D$6,FALSE)*'Erkrankungs- und Strukturdaten'!$C$9,0)
-IF(G109&gt;'Erkrankungs- und Strukturdaten'!$C$15+'Erkrankungs- und Strukturdaten'!$C$16,VLOOKUP(Prognoseergebnis!G109-ROUNDDOWN('Erkrankungs- und Strukturdaten'!$C$15-'Erkrankungs- und Strukturdaten'!$C$16,0),A:D,$D$6,FALSE)*'Erkrankungs- und Strukturdaten'!$C$9,0),0)</f>
        <v>-8</v>
      </c>
      <c r="I109" s="6">
        <f>ROUND('Erkrankungs- und Strukturdaten'!$C$9*D109-IF(G109&gt;'Erkrankungs- und Strukturdaten'!$C$15,VLOOKUP(Prognoseergebnis!G109-'Erkrankungs- und Strukturdaten'!$C$15,$A:$D,$D$6,FALSE)*'Erkrankungs- und Strukturdaten'!$C$9,0),0)</f>
        <v>8</v>
      </c>
      <c r="J109" s="6">
        <f>I109*'Erkrankungs- und Strukturdaten'!$C$10/'Erkrankungs- und Strukturdaten'!$C$9</f>
        <v>3.92</v>
      </c>
      <c r="K109" s="6">
        <f>I109*'Erkrankungs- und Strukturdaten'!$C$21</f>
        <v>160</v>
      </c>
      <c r="L109" s="11"/>
      <c r="M109" s="82">
        <f>SUM($K$66:K109)</f>
        <v>53240</v>
      </c>
      <c r="N109" s="9"/>
      <c r="O109" s="6">
        <f>IF(AND(((H109/'Erkrankungs- und Strukturdaten'!$C$25)*'Erkrankungs- und Strukturdaten'!$E$27)+(H109/'Erkrankungs- und Strukturdaten'!$C$26)&lt;1,((H109/'Erkrankungs- und Strukturdaten'!$C$25)*'Erkrankungs- und Strukturdaten'!$E$27)+(H109/'Erkrankungs- und Strukturdaten'!$C$26)&gt;0),1,((H109/'Erkrankungs- und Strukturdaten'!$C$25)*'Erkrankungs- und Strukturdaten'!$E$27)+(H109/'Erkrankungs- und Strukturdaten'!$C$26))</f>
        <v>-3.4666666666666668</v>
      </c>
      <c r="P109" s="6">
        <f>ROUNDUP(((I109/'Erkrankungs- und Strukturdaten'!$C$28)*'Erkrankungs- und Strukturdaten'!$E$30)+(I109/'Erkrankungs- und Strukturdaten'!$C$29),0)</f>
        <v>9</v>
      </c>
      <c r="Q109" s="6">
        <f>ROUNDUP((H109/'Erkrankungs- und Strukturdaten'!$C$34*'Erkrankungs- und Strukturdaten'!$E$36)+(H109/'Erkrankungs- und Strukturdaten'!$C$35),0)</f>
        <v>-1</v>
      </c>
      <c r="R109" s="6">
        <f>ROUNDUP((I109*'Erkrankungs- und Strukturdaten'!$C$40/'Erkrankungs- und Strukturdaten'!$C$38*'Erkrankungs- und Strukturdaten'!$E$39)+(I109*(1-'Erkrankungs- und Strukturdaten'!$C$40)/'Erkrankungs- und Strukturdaten'!$C$37*'Erkrankungs- und Strukturdaten'!$E$39),0)</f>
        <v>2</v>
      </c>
      <c r="S109" s="52"/>
      <c r="U109" s="44">
        <f>((H109/'Erkrankungs- und Strukturdaten'!$C$25)*'Erkrankungs- und Strukturdaten'!$E$27*'Erkrankungs- und Strukturdaten'!$F$27)+(H109/'Erkrankungs- und Strukturdaten'!$C$26*'Erkrankungs- und Strukturdaten'!$G$27)</f>
        <v>-28.533333333333331</v>
      </c>
      <c r="V109" s="44">
        <f>(I109/'Erkrankungs- und Strukturdaten'!$C$28*'Erkrankungs- und Strukturdaten'!$E$30*'Erkrankungs- und Strukturdaten'!$F$30)+(I109/'Erkrankungs- und Strukturdaten'!$C$29*'Erkrankungs- und Strukturdaten'!$G$30)</f>
        <v>70.994285714285709</v>
      </c>
      <c r="AB109" s="2">
        <f t="shared" si="3"/>
        <v>44386</v>
      </c>
    </row>
    <row r="110" spans="1:28" ht="15" x14ac:dyDescent="0.2">
      <c r="A110" s="42">
        <v>101</v>
      </c>
      <c r="B110" s="375"/>
      <c r="C110" s="28">
        <f t="shared" si="4"/>
        <v>44387</v>
      </c>
      <c r="D110" s="5">
        <f>SUMIF('Fallzahlen (Berechnung)'!D:D,"&lt;="&amp;Prognoseergebnis!C110,'Fallzahlen (Berechnung)'!E:E)-'Fallzahlen (Berechnung)'!$E$1</f>
        <v>698897.79656085023</v>
      </c>
      <c r="E110" s="115" t="e">
        <f>VLOOKUP(C110,'Fallzahlen (Berechnung)'!$D:$E,'Fallzahlen (Berechnung)'!$E$1,FALSE)</f>
        <v>#N/A</v>
      </c>
      <c r="G110" s="18">
        <v>101</v>
      </c>
      <c r="H110" s="5">
        <f>ROUND('Erkrankungs- und Strukturdaten'!$C$8*D110-IF(G110&gt;'Erkrankungs- und Strukturdaten'!$C$14,VLOOKUP(Prognoseergebnis!G110-ROUNDDOWN('Erkrankungs- und Strukturdaten'!$C$14,0),$A:$D,$D$6,FALSE)*'Erkrankungs- und Strukturdaten'!$C$8,0)
+IF(G110&gt;'Erkrankungs- und Strukturdaten'!$C$15,VLOOKUP(Prognoseergebnis!G110-ROUNDDOWN('Erkrankungs- und Strukturdaten'!$C$15,0),A:D,$D$6,FALSE)*'Erkrankungs- und Strukturdaten'!$C$9,0)
-IF(G110&gt;'Erkrankungs- und Strukturdaten'!$C$15+'Erkrankungs- und Strukturdaten'!$C$16,VLOOKUP(Prognoseergebnis!G110-ROUNDDOWN('Erkrankungs- und Strukturdaten'!$C$15-'Erkrankungs- und Strukturdaten'!$C$16,0),A:D,$D$6,FALSE)*'Erkrankungs- und Strukturdaten'!$C$9,0),0)</f>
        <v>-6</v>
      </c>
      <c r="I110" s="5">
        <f>ROUND('Erkrankungs- und Strukturdaten'!$C$9*D110-IF(G110&gt;'Erkrankungs- und Strukturdaten'!$C$15,VLOOKUP(Prognoseergebnis!G110-'Erkrankungs- und Strukturdaten'!$C$15,$A:$D,$D$6,FALSE)*'Erkrankungs- und Strukturdaten'!$C$9,0),0)</f>
        <v>6</v>
      </c>
      <c r="J110" s="5">
        <f>I110*'Erkrankungs- und Strukturdaten'!$C$10/'Erkrankungs- und Strukturdaten'!$C$9</f>
        <v>2.94</v>
      </c>
      <c r="K110" s="5">
        <f>I110*'Erkrankungs- und Strukturdaten'!$C$21</f>
        <v>120</v>
      </c>
      <c r="L110" s="11"/>
      <c r="M110" s="82">
        <f>SUM($K$66:K110)</f>
        <v>53360</v>
      </c>
      <c r="N110" s="9"/>
      <c r="O110" s="5">
        <f>IF(AND(((H110/'Erkrankungs- und Strukturdaten'!$C$25)*'Erkrankungs- und Strukturdaten'!$E$27)+(H110/'Erkrankungs- und Strukturdaten'!$C$26)&lt;1,((H110/'Erkrankungs- und Strukturdaten'!$C$25)*'Erkrankungs- und Strukturdaten'!$E$27)+(H110/'Erkrankungs- und Strukturdaten'!$C$26)&gt;0),1,((H110/'Erkrankungs- und Strukturdaten'!$C$25)*'Erkrankungs- und Strukturdaten'!$E$27)+(H110/'Erkrankungs- und Strukturdaten'!$C$26))</f>
        <v>-2.6</v>
      </c>
      <c r="P110" s="5">
        <f>ROUNDUP(((I110/'Erkrankungs- und Strukturdaten'!$C$28)*'Erkrankungs- und Strukturdaten'!$E$30)+(I110/'Erkrankungs- und Strukturdaten'!$C$29),0)</f>
        <v>7</v>
      </c>
      <c r="Q110" s="5">
        <f>ROUNDUP((H110/'Erkrankungs- und Strukturdaten'!$C$34*'Erkrankungs- und Strukturdaten'!$E$36)+(H110/'Erkrankungs- und Strukturdaten'!$C$35),0)</f>
        <v>-1</v>
      </c>
      <c r="R110" s="5">
        <f>ROUNDUP((I110*'Erkrankungs- und Strukturdaten'!$C$40/'Erkrankungs- und Strukturdaten'!$C$38*'Erkrankungs- und Strukturdaten'!$E$39)+(I110*(1-'Erkrankungs- und Strukturdaten'!$C$40)/'Erkrankungs- und Strukturdaten'!$C$37*'Erkrankungs- und Strukturdaten'!$E$39),0)</f>
        <v>1</v>
      </c>
      <c r="S110" s="52"/>
      <c r="U110" s="44">
        <f>((H110/'Erkrankungs- und Strukturdaten'!$C$25)*'Erkrankungs- und Strukturdaten'!$E$27*'Erkrankungs- und Strukturdaten'!$F$27)+(H110/'Erkrankungs- und Strukturdaten'!$C$26*'Erkrankungs- und Strukturdaten'!$G$27)</f>
        <v>-21.4</v>
      </c>
      <c r="V110" s="44">
        <f>(I110/'Erkrankungs- und Strukturdaten'!$C$28*'Erkrankungs- und Strukturdaten'!$E$30*'Erkrankungs- und Strukturdaten'!$F$30)+(I110/'Erkrankungs- und Strukturdaten'!$C$29*'Erkrankungs- und Strukturdaten'!$G$30)</f>
        <v>53.245714285714286</v>
      </c>
      <c r="AB110" s="2">
        <f t="shared" si="3"/>
        <v>44387</v>
      </c>
    </row>
    <row r="111" spans="1:28" ht="15" x14ac:dyDescent="0.2">
      <c r="A111" s="42">
        <v>102</v>
      </c>
      <c r="B111" s="375"/>
      <c r="C111" s="27">
        <f t="shared" si="4"/>
        <v>44388</v>
      </c>
      <c r="D111" s="6">
        <f>SUMIF('Fallzahlen (Berechnung)'!D:D,"&lt;="&amp;Prognoseergebnis!C111,'Fallzahlen (Berechnung)'!E:E)-'Fallzahlen (Berechnung)'!$E$1</f>
        <v>698897.79656085023</v>
      </c>
      <c r="E111" s="114" t="e">
        <f>VLOOKUP(C111,'Fallzahlen (Berechnung)'!$D:$E,'Fallzahlen (Berechnung)'!$E$1,FALSE)</f>
        <v>#N/A</v>
      </c>
      <c r="G111" s="18">
        <v>102</v>
      </c>
      <c r="H111" s="6">
        <f>ROUND('Erkrankungs- und Strukturdaten'!$C$8*D111-IF(G111&gt;'Erkrankungs- und Strukturdaten'!$C$14,VLOOKUP(Prognoseergebnis!G111-ROUNDDOWN('Erkrankungs- und Strukturdaten'!$C$14,0),$A:$D,$D$6,FALSE)*'Erkrankungs- und Strukturdaten'!$C$8,0)
+IF(G111&gt;'Erkrankungs- und Strukturdaten'!$C$15,VLOOKUP(Prognoseergebnis!G111-ROUNDDOWN('Erkrankungs- und Strukturdaten'!$C$15,0),A:D,$D$6,FALSE)*'Erkrankungs- und Strukturdaten'!$C$9,0)
-IF(G111&gt;'Erkrankungs- und Strukturdaten'!$C$15+'Erkrankungs- und Strukturdaten'!$C$16,VLOOKUP(Prognoseergebnis!G111-ROUNDDOWN('Erkrankungs- und Strukturdaten'!$C$15-'Erkrankungs- und Strukturdaten'!$C$16,0),A:D,$D$6,FALSE)*'Erkrankungs- und Strukturdaten'!$C$9,0),0)</f>
        <v>-5</v>
      </c>
      <c r="I111" s="6">
        <f>ROUND('Erkrankungs- und Strukturdaten'!$C$9*D111-IF(G111&gt;'Erkrankungs- und Strukturdaten'!$C$15,VLOOKUP(Prognoseergebnis!G111-'Erkrankungs- und Strukturdaten'!$C$15,$A:$D,$D$6,FALSE)*'Erkrankungs- und Strukturdaten'!$C$9,0),0)</f>
        <v>5</v>
      </c>
      <c r="J111" s="6">
        <f>I111*'Erkrankungs- und Strukturdaten'!$C$10/'Erkrankungs- und Strukturdaten'!$C$9</f>
        <v>2.4499999999999997</v>
      </c>
      <c r="K111" s="6">
        <f>I111*'Erkrankungs- und Strukturdaten'!$C$21</f>
        <v>100</v>
      </c>
      <c r="L111" s="11"/>
      <c r="M111" s="82">
        <f>SUM($K$66:K111)</f>
        <v>53460</v>
      </c>
      <c r="N111" s="9"/>
      <c r="O111" s="6">
        <f>IF(AND(((H111/'Erkrankungs- und Strukturdaten'!$C$25)*'Erkrankungs- und Strukturdaten'!$E$27)+(H111/'Erkrankungs- und Strukturdaten'!$C$26)&lt;1,((H111/'Erkrankungs- und Strukturdaten'!$C$25)*'Erkrankungs- und Strukturdaten'!$E$27)+(H111/'Erkrankungs- und Strukturdaten'!$C$26)&gt;0),1,((H111/'Erkrankungs- und Strukturdaten'!$C$25)*'Erkrankungs- und Strukturdaten'!$E$27)+(H111/'Erkrankungs- und Strukturdaten'!$C$26))</f>
        <v>-2.166666666666667</v>
      </c>
      <c r="P111" s="6">
        <f>ROUNDUP(((I111/'Erkrankungs- und Strukturdaten'!$C$28)*'Erkrankungs- und Strukturdaten'!$E$30)+(I111/'Erkrankungs- und Strukturdaten'!$C$29),0)</f>
        <v>6</v>
      </c>
      <c r="Q111" s="6">
        <f>ROUNDUP((H111/'Erkrankungs- und Strukturdaten'!$C$34*'Erkrankungs- und Strukturdaten'!$E$36)+(H111/'Erkrankungs- und Strukturdaten'!$C$35),0)</f>
        <v>-1</v>
      </c>
      <c r="R111" s="6">
        <f>ROUNDUP((I111*'Erkrankungs- und Strukturdaten'!$C$40/'Erkrankungs- und Strukturdaten'!$C$38*'Erkrankungs- und Strukturdaten'!$E$39)+(I111*(1-'Erkrankungs- und Strukturdaten'!$C$40)/'Erkrankungs- und Strukturdaten'!$C$37*'Erkrankungs- und Strukturdaten'!$E$39),0)</f>
        <v>1</v>
      </c>
      <c r="S111" s="52"/>
      <c r="U111" s="44">
        <f>((H111/'Erkrankungs- und Strukturdaten'!$C$25)*'Erkrankungs- und Strukturdaten'!$E$27*'Erkrankungs- und Strukturdaten'!$F$27)+(H111/'Erkrankungs- und Strukturdaten'!$C$26*'Erkrankungs- und Strukturdaten'!$G$27)</f>
        <v>-17.833333333333336</v>
      </c>
      <c r="V111" s="44">
        <f>(I111/'Erkrankungs- und Strukturdaten'!$C$28*'Erkrankungs- und Strukturdaten'!$E$30*'Erkrankungs- und Strukturdaten'!$F$30)+(I111/'Erkrankungs- und Strukturdaten'!$C$29*'Erkrankungs- und Strukturdaten'!$G$30)</f>
        <v>44.371428571428574</v>
      </c>
      <c r="AB111" s="2">
        <f t="shared" si="3"/>
        <v>44388</v>
      </c>
    </row>
    <row r="112" spans="1:28" ht="15" x14ac:dyDescent="0.2">
      <c r="A112" s="42">
        <v>103</v>
      </c>
      <c r="B112" s="375"/>
      <c r="C112" s="28">
        <f t="shared" si="4"/>
        <v>44389</v>
      </c>
      <c r="D112" s="5">
        <f>SUMIF('Fallzahlen (Berechnung)'!D:D,"&lt;="&amp;Prognoseergebnis!C112,'Fallzahlen (Berechnung)'!E:E)-'Fallzahlen (Berechnung)'!$E$1</f>
        <v>698897.79656085023</v>
      </c>
      <c r="E112" s="115" t="e">
        <f>VLOOKUP(C112,'Fallzahlen (Berechnung)'!$D:$E,'Fallzahlen (Berechnung)'!$E$1,FALSE)</f>
        <v>#N/A</v>
      </c>
      <c r="G112" s="18">
        <v>103</v>
      </c>
      <c r="H112" s="5">
        <f>ROUND('Erkrankungs- und Strukturdaten'!$C$8*D112-IF(G112&gt;'Erkrankungs- und Strukturdaten'!$C$14,VLOOKUP(Prognoseergebnis!G112-ROUNDDOWN('Erkrankungs- und Strukturdaten'!$C$14,0),$A:$D,$D$6,FALSE)*'Erkrankungs- und Strukturdaten'!$C$8,0)
+IF(G112&gt;'Erkrankungs- und Strukturdaten'!$C$15,VLOOKUP(Prognoseergebnis!G112-ROUNDDOWN('Erkrankungs- und Strukturdaten'!$C$15,0),A:D,$D$6,FALSE)*'Erkrankungs- und Strukturdaten'!$C$9,0)
-IF(G112&gt;'Erkrankungs- und Strukturdaten'!$C$15+'Erkrankungs- und Strukturdaten'!$C$16,VLOOKUP(Prognoseergebnis!G112-ROUNDDOWN('Erkrankungs- und Strukturdaten'!$C$15-'Erkrankungs- und Strukturdaten'!$C$16,0),A:D,$D$6,FALSE)*'Erkrankungs- und Strukturdaten'!$C$9,0),0)</f>
        <v>-4</v>
      </c>
      <c r="I112" s="5">
        <f>ROUND('Erkrankungs- und Strukturdaten'!$C$9*D112-IF(G112&gt;'Erkrankungs- und Strukturdaten'!$C$15,VLOOKUP(Prognoseergebnis!G112-'Erkrankungs- und Strukturdaten'!$C$15,$A:$D,$D$6,FALSE)*'Erkrankungs- und Strukturdaten'!$C$9,0),0)</f>
        <v>4</v>
      </c>
      <c r="J112" s="5">
        <f>I112*'Erkrankungs- und Strukturdaten'!$C$10/'Erkrankungs- und Strukturdaten'!$C$9</f>
        <v>1.96</v>
      </c>
      <c r="K112" s="5">
        <f>I112*'Erkrankungs- und Strukturdaten'!$C$21</f>
        <v>80</v>
      </c>
      <c r="L112" s="11"/>
      <c r="M112" s="82">
        <f>SUM($K$66:K112)</f>
        <v>53540</v>
      </c>
      <c r="N112" s="9"/>
      <c r="O112" s="5">
        <f>IF(AND(((H112/'Erkrankungs- und Strukturdaten'!$C$25)*'Erkrankungs- und Strukturdaten'!$E$27)+(H112/'Erkrankungs- und Strukturdaten'!$C$26)&lt;1,((H112/'Erkrankungs- und Strukturdaten'!$C$25)*'Erkrankungs- und Strukturdaten'!$E$27)+(H112/'Erkrankungs- und Strukturdaten'!$C$26)&gt;0),1,((H112/'Erkrankungs- und Strukturdaten'!$C$25)*'Erkrankungs- und Strukturdaten'!$E$27)+(H112/'Erkrankungs- und Strukturdaten'!$C$26))</f>
        <v>-1.7333333333333334</v>
      </c>
      <c r="P112" s="5">
        <f>ROUNDUP(((I112/'Erkrankungs- und Strukturdaten'!$C$28)*'Erkrankungs- und Strukturdaten'!$E$30)+(I112/'Erkrankungs- und Strukturdaten'!$C$29),0)</f>
        <v>5</v>
      </c>
      <c r="Q112" s="5">
        <f>ROUNDUP((H112/'Erkrankungs- und Strukturdaten'!$C$34*'Erkrankungs- und Strukturdaten'!$E$36)+(H112/'Erkrankungs- und Strukturdaten'!$C$35),0)</f>
        <v>-1</v>
      </c>
      <c r="R112" s="5">
        <f>ROUNDUP((I112*'Erkrankungs- und Strukturdaten'!$C$40/'Erkrankungs- und Strukturdaten'!$C$38*'Erkrankungs- und Strukturdaten'!$E$39)+(I112*(1-'Erkrankungs- und Strukturdaten'!$C$40)/'Erkrankungs- und Strukturdaten'!$C$37*'Erkrankungs- und Strukturdaten'!$E$39),0)</f>
        <v>1</v>
      </c>
      <c r="S112" s="52"/>
      <c r="U112" s="44">
        <f>((H112/'Erkrankungs- und Strukturdaten'!$C$25)*'Erkrankungs- und Strukturdaten'!$E$27*'Erkrankungs- und Strukturdaten'!$F$27)+(H112/'Erkrankungs- und Strukturdaten'!$C$26*'Erkrankungs- und Strukturdaten'!$G$27)</f>
        <v>-14.266666666666666</v>
      </c>
      <c r="V112" s="44">
        <f>(I112/'Erkrankungs- und Strukturdaten'!$C$28*'Erkrankungs- und Strukturdaten'!$E$30*'Erkrankungs- und Strukturdaten'!$F$30)+(I112/'Erkrankungs- und Strukturdaten'!$C$29*'Erkrankungs- und Strukturdaten'!$G$30)</f>
        <v>35.497142857142855</v>
      </c>
      <c r="AB112" s="2">
        <f t="shared" si="3"/>
        <v>44389</v>
      </c>
    </row>
    <row r="113" spans="1:28" ht="15" x14ac:dyDescent="0.2">
      <c r="A113" s="42">
        <v>104</v>
      </c>
      <c r="B113" s="375"/>
      <c r="C113" s="27">
        <f t="shared" si="4"/>
        <v>44390</v>
      </c>
      <c r="D113" s="6">
        <f>SUMIF('Fallzahlen (Berechnung)'!D:D,"&lt;="&amp;Prognoseergebnis!C113,'Fallzahlen (Berechnung)'!E:E)-'Fallzahlen (Berechnung)'!$E$1</f>
        <v>698897.79656085023</v>
      </c>
      <c r="E113" s="114" t="e">
        <f>VLOOKUP(C113,'Fallzahlen (Berechnung)'!$D:$E,'Fallzahlen (Berechnung)'!$E$1,FALSE)</f>
        <v>#N/A</v>
      </c>
      <c r="G113" s="18">
        <v>104</v>
      </c>
      <c r="H113" s="6">
        <f>ROUND('Erkrankungs- und Strukturdaten'!$C$8*D113-IF(G113&gt;'Erkrankungs- und Strukturdaten'!$C$14,VLOOKUP(Prognoseergebnis!G113-ROUNDDOWN('Erkrankungs- und Strukturdaten'!$C$14,0),$A:$D,$D$6,FALSE)*'Erkrankungs- und Strukturdaten'!$C$8,0)
+IF(G113&gt;'Erkrankungs- und Strukturdaten'!$C$15,VLOOKUP(Prognoseergebnis!G113-ROUNDDOWN('Erkrankungs- und Strukturdaten'!$C$15,0),A:D,$D$6,FALSE)*'Erkrankungs- und Strukturdaten'!$C$9,0)
-IF(G113&gt;'Erkrankungs- und Strukturdaten'!$C$15+'Erkrankungs- und Strukturdaten'!$C$16,VLOOKUP(Prognoseergebnis!G113-ROUNDDOWN('Erkrankungs- und Strukturdaten'!$C$15-'Erkrankungs- und Strukturdaten'!$C$16,0),A:D,$D$6,FALSE)*'Erkrankungs- und Strukturdaten'!$C$9,0),0)</f>
        <v>-3</v>
      </c>
      <c r="I113" s="6">
        <f>ROUND('Erkrankungs- und Strukturdaten'!$C$9*D113-IF(G113&gt;'Erkrankungs- und Strukturdaten'!$C$15,VLOOKUP(Prognoseergebnis!G113-'Erkrankungs- und Strukturdaten'!$C$15,$A:$D,$D$6,FALSE)*'Erkrankungs- und Strukturdaten'!$C$9,0),0)</f>
        <v>3</v>
      </c>
      <c r="J113" s="6">
        <f>I113*'Erkrankungs- und Strukturdaten'!$C$10/'Erkrankungs- und Strukturdaten'!$C$9</f>
        <v>1.47</v>
      </c>
      <c r="K113" s="6">
        <f>I113*'Erkrankungs- und Strukturdaten'!$C$21</f>
        <v>60</v>
      </c>
      <c r="L113" s="11"/>
      <c r="M113" s="82">
        <f>SUM($K$66:K113)</f>
        <v>53600</v>
      </c>
      <c r="N113" s="9"/>
      <c r="O113" s="6">
        <f>IF(AND(((H113/'Erkrankungs- und Strukturdaten'!$C$25)*'Erkrankungs- und Strukturdaten'!$E$27)+(H113/'Erkrankungs- und Strukturdaten'!$C$26)&lt;1,((H113/'Erkrankungs- und Strukturdaten'!$C$25)*'Erkrankungs- und Strukturdaten'!$E$27)+(H113/'Erkrankungs- und Strukturdaten'!$C$26)&gt;0),1,((H113/'Erkrankungs- und Strukturdaten'!$C$25)*'Erkrankungs- und Strukturdaten'!$E$27)+(H113/'Erkrankungs- und Strukturdaten'!$C$26))</f>
        <v>-1.3</v>
      </c>
      <c r="P113" s="6">
        <f>ROUNDUP(((I113/'Erkrankungs- und Strukturdaten'!$C$28)*'Erkrankungs- und Strukturdaten'!$E$30)+(I113/'Erkrankungs- und Strukturdaten'!$C$29),0)</f>
        <v>4</v>
      </c>
      <c r="Q113" s="6">
        <f>ROUNDUP((H113/'Erkrankungs- und Strukturdaten'!$C$34*'Erkrankungs- und Strukturdaten'!$E$36)+(H113/'Erkrankungs- und Strukturdaten'!$C$35),0)</f>
        <v>-1</v>
      </c>
      <c r="R113" s="6">
        <f>ROUNDUP((I113*'Erkrankungs- und Strukturdaten'!$C$40/'Erkrankungs- und Strukturdaten'!$C$38*'Erkrankungs- und Strukturdaten'!$E$39)+(I113*(1-'Erkrankungs- und Strukturdaten'!$C$40)/'Erkrankungs- und Strukturdaten'!$C$37*'Erkrankungs- und Strukturdaten'!$E$39),0)</f>
        <v>1</v>
      </c>
      <c r="S113" s="52"/>
      <c r="U113" s="44">
        <f>((H113/'Erkrankungs- und Strukturdaten'!$C$25)*'Erkrankungs- und Strukturdaten'!$E$27*'Erkrankungs- und Strukturdaten'!$F$27)+(H113/'Erkrankungs- und Strukturdaten'!$C$26*'Erkrankungs- und Strukturdaten'!$G$27)</f>
        <v>-10.7</v>
      </c>
      <c r="V113" s="44">
        <f>(I113/'Erkrankungs- und Strukturdaten'!$C$28*'Erkrankungs- und Strukturdaten'!$E$30*'Erkrankungs- und Strukturdaten'!$F$30)+(I113/'Erkrankungs- und Strukturdaten'!$C$29*'Erkrankungs- und Strukturdaten'!$G$30)</f>
        <v>26.622857142857143</v>
      </c>
      <c r="AB113" s="2">
        <f t="shared" si="3"/>
        <v>44390</v>
      </c>
    </row>
    <row r="114" spans="1:28" ht="15" x14ac:dyDescent="0.2">
      <c r="A114" s="42">
        <v>105</v>
      </c>
      <c r="B114" s="375"/>
      <c r="C114" s="29">
        <f t="shared" si="4"/>
        <v>44391</v>
      </c>
      <c r="D114" s="30">
        <f>SUMIF('Fallzahlen (Berechnung)'!D:D,"&lt;="&amp;Prognoseergebnis!C114,'Fallzahlen (Berechnung)'!E:E)-'Fallzahlen (Berechnung)'!$E$1</f>
        <v>698897.79656085023</v>
      </c>
      <c r="E114" s="117" t="e">
        <f>VLOOKUP(C114,'Fallzahlen (Berechnung)'!$D:$E,'Fallzahlen (Berechnung)'!$E$1,FALSE)</f>
        <v>#N/A</v>
      </c>
      <c r="G114" s="18">
        <v>105</v>
      </c>
      <c r="H114" s="30">
        <f>ROUND('Erkrankungs- und Strukturdaten'!$C$8*D114-IF(G114&gt;'Erkrankungs- und Strukturdaten'!$C$14,VLOOKUP(Prognoseergebnis!G114-ROUNDDOWN('Erkrankungs- und Strukturdaten'!$C$14,0),$A:$D,$D$6,FALSE)*'Erkrankungs- und Strukturdaten'!$C$8,0)
+IF(G114&gt;'Erkrankungs- und Strukturdaten'!$C$15,VLOOKUP(Prognoseergebnis!G114-ROUNDDOWN('Erkrankungs- und Strukturdaten'!$C$15,0),A:D,$D$6,FALSE)*'Erkrankungs- und Strukturdaten'!$C$9,0)
-IF(G114&gt;'Erkrankungs- und Strukturdaten'!$C$15+'Erkrankungs- und Strukturdaten'!$C$16,VLOOKUP(Prognoseergebnis!G114-ROUNDDOWN('Erkrankungs- und Strukturdaten'!$C$15-'Erkrankungs- und Strukturdaten'!$C$16,0),A:D,$D$6,FALSE)*'Erkrankungs- und Strukturdaten'!$C$9,0),0)</f>
        <v>-1</v>
      </c>
      <c r="I114" s="30">
        <f>ROUND('Erkrankungs- und Strukturdaten'!$C$9*D114-IF(G114&gt;'Erkrankungs- und Strukturdaten'!$C$15,VLOOKUP(Prognoseergebnis!G114-'Erkrankungs- und Strukturdaten'!$C$15,$A:$D,$D$6,FALSE)*'Erkrankungs- und Strukturdaten'!$C$9,0),0)</f>
        <v>1</v>
      </c>
      <c r="J114" s="30">
        <f>I114*'Erkrankungs- und Strukturdaten'!$C$10/'Erkrankungs- und Strukturdaten'!$C$9</f>
        <v>0.49</v>
      </c>
      <c r="K114" s="30">
        <f>I114*'Erkrankungs- und Strukturdaten'!$C$21</f>
        <v>20</v>
      </c>
      <c r="L114" s="11"/>
      <c r="M114" s="82">
        <f>SUM($K$66:K114)</f>
        <v>53620</v>
      </c>
      <c r="N114" s="9"/>
      <c r="O114" s="30">
        <f>IF(AND(((H114/'Erkrankungs- und Strukturdaten'!$C$25)*'Erkrankungs- und Strukturdaten'!$E$27)+(H114/'Erkrankungs- und Strukturdaten'!$C$26)&lt;1,((H114/'Erkrankungs- und Strukturdaten'!$C$25)*'Erkrankungs- und Strukturdaten'!$E$27)+(H114/'Erkrankungs- und Strukturdaten'!$C$26)&gt;0),1,((H114/'Erkrankungs- und Strukturdaten'!$C$25)*'Erkrankungs- und Strukturdaten'!$E$27)+(H114/'Erkrankungs- und Strukturdaten'!$C$26))</f>
        <v>-0.43333333333333335</v>
      </c>
      <c r="P114" s="30">
        <f>ROUNDUP(((I114/'Erkrankungs- und Strukturdaten'!$C$28)*'Erkrankungs- und Strukturdaten'!$E$30)+(I114/'Erkrankungs- und Strukturdaten'!$C$29),0)</f>
        <v>2</v>
      </c>
      <c r="Q114" s="30">
        <f>ROUNDUP((H114/'Erkrankungs- und Strukturdaten'!$C$34*'Erkrankungs- und Strukturdaten'!$E$36)+(H114/'Erkrankungs- und Strukturdaten'!$C$35),0)</f>
        <v>-1</v>
      </c>
      <c r="R114" s="30">
        <f>ROUNDUP((I114*'Erkrankungs- und Strukturdaten'!$C$40/'Erkrankungs- und Strukturdaten'!$C$38*'Erkrankungs- und Strukturdaten'!$E$39)+(I114*(1-'Erkrankungs- und Strukturdaten'!$C$40)/'Erkrankungs- und Strukturdaten'!$C$37*'Erkrankungs- und Strukturdaten'!$E$39),0)</f>
        <v>1</v>
      </c>
      <c r="S114" s="52"/>
      <c r="U114" s="44">
        <f>((H114/'Erkrankungs- und Strukturdaten'!$C$25)*'Erkrankungs- und Strukturdaten'!$E$27*'Erkrankungs- und Strukturdaten'!$F$27)+(H114/'Erkrankungs- und Strukturdaten'!$C$26*'Erkrankungs- und Strukturdaten'!$G$27)</f>
        <v>-3.5666666666666664</v>
      </c>
      <c r="V114" s="44">
        <f>(I114/'Erkrankungs- und Strukturdaten'!$C$28*'Erkrankungs- und Strukturdaten'!$E$30*'Erkrankungs- und Strukturdaten'!$F$30)+(I114/'Erkrankungs- und Strukturdaten'!$C$29*'Erkrankungs- und Strukturdaten'!$G$30)</f>
        <v>8.8742857142857137</v>
      </c>
      <c r="AB114" s="2">
        <f t="shared" si="3"/>
        <v>44391</v>
      </c>
    </row>
    <row r="115" spans="1:28" ht="14.85" customHeight="1" x14ac:dyDescent="0.2">
      <c r="A115" s="42">
        <v>106</v>
      </c>
      <c r="B115" s="373" t="s">
        <v>37</v>
      </c>
      <c r="C115" s="76">
        <f t="shared" si="4"/>
        <v>44392</v>
      </c>
      <c r="D115" s="77">
        <f>SUMIF('Fallzahlen (Berechnung)'!D:D,"&lt;="&amp;Prognoseergebnis!C115,'Fallzahlen (Berechnung)'!E:E)-'Fallzahlen (Berechnung)'!$E$1</f>
        <v>698897.79656085023</v>
      </c>
      <c r="E115" s="118" t="e">
        <f>VLOOKUP(C115,'Fallzahlen (Berechnung)'!$D:$E,'Fallzahlen (Berechnung)'!$E$1,FALSE)</f>
        <v>#N/A</v>
      </c>
      <c r="G115" s="18">
        <v>106</v>
      </c>
      <c r="H115" s="77">
        <f>ROUND('Erkrankungs- und Strukturdaten'!$C$8*D115-IF(G115&gt;'Erkrankungs- und Strukturdaten'!$C$14,VLOOKUP(Prognoseergebnis!G115-ROUNDDOWN('Erkrankungs- und Strukturdaten'!$C$14,0),$A:$D,$D$6,FALSE)*'Erkrankungs- und Strukturdaten'!$C$8,0)
+IF(G115&gt;'Erkrankungs- und Strukturdaten'!$C$15,VLOOKUP(Prognoseergebnis!G115-ROUNDDOWN('Erkrankungs- und Strukturdaten'!$C$15,0),A:D,$D$6,FALSE)*'Erkrankungs- und Strukturdaten'!$C$9,0)
-IF(G115&gt;'Erkrankungs- und Strukturdaten'!$C$15+'Erkrankungs- und Strukturdaten'!$C$16,VLOOKUP(Prognoseergebnis!G115-ROUNDDOWN('Erkrankungs- und Strukturdaten'!$C$15-'Erkrankungs- und Strukturdaten'!$C$16,0),A:D,$D$6,FALSE)*'Erkrankungs- und Strukturdaten'!$C$9,0),0)</f>
        <v>0</v>
      </c>
      <c r="I115" s="77">
        <f>ROUND('Erkrankungs- und Strukturdaten'!$C$9*D115-IF(G115&gt;'Erkrankungs- und Strukturdaten'!$C$15,VLOOKUP(Prognoseergebnis!G115-'Erkrankungs- und Strukturdaten'!$C$15,$A:$D,$D$6,FALSE)*'Erkrankungs- und Strukturdaten'!$C$9,0),0)</f>
        <v>0</v>
      </c>
      <c r="J115" s="77">
        <f>I115*'Erkrankungs- und Strukturdaten'!$C$10/'Erkrankungs- und Strukturdaten'!$C$9</f>
        <v>0</v>
      </c>
      <c r="K115" s="77">
        <f>I115*'Erkrankungs- und Strukturdaten'!$C$21</f>
        <v>0</v>
      </c>
      <c r="L115" s="11"/>
      <c r="M115" s="82">
        <f>SUM($K$66:K115)</f>
        <v>53620</v>
      </c>
      <c r="N115" s="9"/>
      <c r="O115" s="77">
        <f>IF(AND(((H115/'Erkrankungs- und Strukturdaten'!$C$25)*'Erkrankungs- und Strukturdaten'!$E$27)+(H115/'Erkrankungs- und Strukturdaten'!$C$26)&lt;1,((H115/'Erkrankungs- und Strukturdaten'!$C$25)*'Erkrankungs- und Strukturdaten'!$E$27)+(H115/'Erkrankungs- und Strukturdaten'!$C$26)&gt;0),1,((H115/'Erkrankungs- und Strukturdaten'!$C$25)*'Erkrankungs- und Strukturdaten'!$E$27)+(H115/'Erkrankungs- und Strukturdaten'!$C$26))</f>
        <v>0</v>
      </c>
      <c r="P115" s="77">
        <f>ROUNDUP(((I115/'Erkrankungs- und Strukturdaten'!$C$28)*'Erkrankungs- und Strukturdaten'!$E$30)+(I115/'Erkrankungs- und Strukturdaten'!$C$29),0)</f>
        <v>0</v>
      </c>
      <c r="Q115" s="77">
        <f>ROUNDUP((H115/'Erkrankungs- und Strukturdaten'!$C$34*'Erkrankungs- und Strukturdaten'!$E$36)+(H115/'Erkrankungs- und Strukturdaten'!$C$35),0)</f>
        <v>0</v>
      </c>
      <c r="R115" s="77">
        <f>ROUNDUP((I115*'Erkrankungs- und Strukturdaten'!$C$40/'Erkrankungs- und Strukturdaten'!$C$38*'Erkrankungs- und Strukturdaten'!$E$39)+(I115*(1-'Erkrankungs- und Strukturdaten'!$C$40)/'Erkrankungs- und Strukturdaten'!$C$37*'Erkrankungs- und Strukturdaten'!$E$39),0)</f>
        <v>0</v>
      </c>
      <c r="S115" s="52"/>
      <c r="U115" s="44">
        <f>((H115/'Erkrankungs- und Strukturdaten'!$C$25)*'Erkrankungs- und Strukturdaten'!$E$27*'Erkrankungs- und Strukturdaten'!$F$27)+(H115/'Erkrankungs- und Strukturdaten'!$C$26*'Erkrankungs- und Strukturdaten'!$G$27)</f>
        <v>0</v>
      </c>
      <c r="V115" s="44">
        <f>(I115/'Erkrankungs- und Strukturdaten'!$C$28*'Erkrankungs- und Strukturdaten'!$E$30*'Erkrankungs- und Strukturdaten'!$F$30)+(I115/'Erkrankungs- und Strukturdaten'!$C$29*'Erkrankungs- und Strukturdaten'!$G$30)</f>
        <v>0</v>
      </c>
      <c r="AB115" s="2">
        <f t="shared" si="3"/>
        <v>44392</v>
      </c>
    </row>
    <row r="116" spans="1:28" ht="15" x14ac:dyDescent="0.2">
      <c r="A116" s="42">
        <v>107</v>
      </c>
      <c r="B116" s="373"/>
      <c r="C116" s="28">
        <f t="shared" si="4"/>
        <v>44393</v>
      </c>
      <c r="D116" s="5">
        <f>SUMIF('Fallzahlen (Berechnung)'!D:D,"&lt;="&amp;Prognoseergebnis!C116,'Fallzahlen (Berechnung)'!E:E)-'Fallzahlen (Berechnung)'!$E$1</f>
        <v>698897.79656085023</v>
      </c>
      <c r="E116" s="115" t="e">
        <f>VLOOKUP(C116,'Fallzahlen (Berechnung)'!$D:$E,'Fallzahlen (Berechnung)'!$E$1,FALSE)</f>
        <v>#N/A</v>
      </c>
      <c r="G116" s="18">
        <v>107</v>
      </c>
      <c r="H116" s="5">
        <f>ROUND('Erkrankungs- und Strukturdaten'!$C$8*D116-IF(G116&gt;'Erkrankungs- und Strukturdaten'!$C$14,VLOOKUP(Prognoseergebnis!G116-ROUNDDOWN('Erkrankungs- und Strukturdaten'!$C$14,0),$A:$D,$D$6,FALSE)*'Erkrankungs- und Strukturdaten'!$C$8,0)
+IF(G116&gt;'Erkrankungs- und Strukturdaten'!$C$15,VLOOKUP(Prognoseergebnis!G116-ROUNDDOWN('Erkrankungs- und Strukturdaten'!$C$15,0),A:D,$D$6,FALSE)*'Erkrankungs- und Strukturdaten'!$C$9,0)
-IF(G116&gt;'Erkrankungs- und Strukturdaten'!$C$15+'Erkrankungs- und Strukturdaten'!$C$16,VLOOKUP(Prognoseergebnis!G116-ROUNDDOWN('Erkrankungs- und Strukturdaten'!$C$15-'Erkrankungs- und Strukturdaten'!$C$16,0),A:D,$D$6,FALSE)*'Erkrankungs- und Strukturdaten'!$C$9,0),0)</f>
        <v>0</v>
      </c>
      <c r="I116" s="5">
        <f>ROUND('Erkrankungs- und Strukturdaten'!$C$9*D116-IF(G116&gt;'Erkrankungs- und Strukturdaten'!$C$15,VLOOKUP(Prognoseergebnis!G116-'Erkrankungs- und Strukturdaten'!$C$15,$A:$D,$D$6,FALSE)*'Erkrankungs- und Strukturdaten'!$C$9,0),0)</f>
        <v>0</v>
      </c>
      <c r="J116" s="5">
        <f>I116*'Erkrankungs- und Strukturdaten'!$C$10/'Erkrankungs- und Strukturdaten'!$C$9</f>
        <v>0</v>
      </c>
      <c r="K116" s="5">
        <f>I116*'Erkrankungs- und Strukturdaten'!$C$21</f>
        <v>0</v>
      </c>
      <c r="L116" s="11"/>
      <c r="M116" s="82">
        <f>SUM($K$66:K116)</f>
        <v>53620</v>
      </c>
      <c r="N116" s="9"/>
      <c r="O116" s="5">
        <f>IF(AND(((H116/'Erkrankungs- und Strukturdaten'!$C$25)*'Erkrankungs- und Strukturdaten'!$E$27)+(H116/'Erkrankungs- und Strukturdaten'!$C$26)&lt;1,((H116/'Erkrankungs- und Strukturdaten'!$C$25)*'Erkrankungs- und Strukturdaten'!$E$27)+(H116/'Erkrankungs- und Strukturdaten'!$C$26)&gt;0),1,((H116/'Erkrankungs- und Strukturdaten'!$C$25)*'Erkrankungs- und Strukturdaten'!$E$27)+(H116/'Erkrankungs- und Strukturdaten'!$C$26))</f>
        <v>0</v>
      </c>
      <c r="P116" s="5">
        <f>ROUNDUP(((I116/'Erkrankungs- und Strukturdaten'!$C$28)*'Erkrankungs- und Strukturdaten'!$E$30)+(I116/'Erkrankungs- und Strukturdaten'!$C$29),0)</f>
        <v>0</v>
      </c>
      <c r="Q116" s="5">
        <f>ROUNDUP((H116/'Erkrankungs- und Strukturdaten'!$C$34*'Erkrankungs- und Strukturdaten'!$E$36)+(H116/'Erkrankungs- und Strukturdaten'!$C$35),0)</f>
        <v>0</v>
      </c>
      <c r="R116" s="5">
        <f>ROUNDUP((I116*'Erkrankungs- und Strukturdaten'!$C$40/'Erkrankungs- und Strukturdaten'!$C$38*'Erkrankungs- und Strukturdaten'!$E$39)+(I116*(1-'Erkrankungs- und Strukturdaten'!$C$40)/'Erkrankungs- und Strukturdaten'!$C$37*'Erkrankungs- und Strukturdaten'!$E$39),0)</f>
        <v>0</v>
      </c>
      <c r="S116" s="52"/>
      <c r="U116" s="44">
        <f>((H116/'Erkrankungs- und Strukturdaten'!$C$25)*'Erkrankungs- und Strukturdaten'!$E$27*'Erkrankungs- und Strukturdaten'!$F$27)+(H116/'Erkrankungs- und Strukturdaten'!$C$26*'Erkrankungs- und Strukturdaten'!$G$27)</f>
        <v>0</v>
      </c>
      <c r="V116" s="44">
        <f>(I116/'Erkrankungs- und Strukturdaten'!$C$28*'Erkrankungs- und Strukturdaten'!$E$30*'Erkrankungs- und Strukturdaten'!$F$30)+(I116/'Erkrankungs- und Strukturdaten'!$C$29*'Erkrankungs- und Strukturdaten'!$G$30)</f>
        <v>0</v>
      </c>
      <c r="AB116" s="2">
        <f t="shared" si="3"/>
        <v>44393</v>
      </c>
    </row>
    <row r="117" spans="1:28" ht="15" x14ac:dyDescent="0.2">
      <c r="A117" s="42">
        <v>108</v>
      </c>
      <c r="B117" s="373"/>
      <c r="C117" s="27">
        <f t="shared" si="4"/>
        <v>44394</v>
      </c>
      <c r="D117" s="6">
        <f>SUMIF('Fallzahlen (Berechnung)'!D:D,"&lt;="&amp;Prognoseergebnis!C117,'Fallzahlen (Berechnung)'!E:E)-'Fallzahlen (Berechnung)'!$E$1</f>
        <v>698897.79656085023</v>
      </c>
      <c r="E117" s="114" t="e">
        <f>VLOOKUP(C117,'Fallzahlen (Berechnung)'!$D:$E,'Fallzahlen (Berechnung)'!$E$1,FALSE)</f>
        <v>#N/A</v>
      </c>
      <c r="G117" s="18">
        <v>108</v>
      </c>
      <c r="H117" s="6">
        <f>ROUND('Erkrankungs- und Strukturdaten'!$C$8*D117-IF(G117&gt;'Erkrankungs- und Strukturdaten'!$C$14,VLOOKUP(Prognoseergebnis!G117-ROUNDDOWN('Erkrankungs- und Strukturdaten'!$C$14,0),$A:$D,$D$6,FALSE)*'Erkrankungs- und Strukturdaten'!$C$8,0)
+IF(G117&gt;'Erkrankungs- und Strukturdaten'!$C$15,VLOOKUP(Prognoseergebnis!G117-ROUNDDOWN('Erkrankungs- und Strukturdaten'!$C$15,0),A:D,$D$6,FALSE)*'Erkrankungs- und Strukturdaten'!$C$9,0)
-IF(G117&gt;'Erkrankungs- und Strukturdaten'!$C$15+'Erkrankungs- und Strukturdaten'!$C$16,VLOOKUP(Prognoseergebnis!G117-ROUNDDOWN('Erkrankungs- und Strukturdaten'!$C$15-'Erkrankungs- und Strukturdaten'!$C$16,0),A:D,$D$6,FALSE)*'Erkrankungs- und Strukturdaten'!$C$9,0),0)</f>
        <v>0</v>
      </c>
      <c r="I117" s="6">
        <f>ROUND('Erkrankungs- und Strukturdaten'!$C$9*D117-IF(G117&gt;'Erkrankungs- und Strukturdaten'!$C$15,VLOOKUP(Prognoseergebnis!G117-'Erkrankungs- und Strukturdaten'!$C$15,$A:$D,$D$6,FALSE)*'Erkrankungs- und Strukturdaten'!$C$9,0),0)</f>
        <v>0</v>
      </c>
      <c r="J117" s="6">
        <f>I117*'Erkrankungs- und Strukturdaten'!$C$10/'Erkrankungs- und Strukturdaten'!$C$9</f>
        <v>0</v>
      </c>
      <c r="K117" s="6">
        <f>I117*'Erkrankungs- und Strukturdaten'!$C$21</f>
        <v>0</v>
      </c>
      <c r="L117" s="11"/>
      <c r="M117" s="82">
        <f>SUM($K$66:K117)</f>
        <v>53620</v>
      </c>
      <c r="N117" s="9"/>
      <c r="O117" s="6">
        <f>IF(AND(((H117/'Erkrankungs- und Strukturdaten'!$C$25)*'Erkrankungs- und Strukturdaten'!$E$27)+(H117/'Erkrankungs- und Strukturdaten'!$C$26)&lt;1,((H117/'Erkrankungs- und Strukturdaten'!$C$25)*'Erkrankungs- und Strukturdaten'!$E$27)+(H117/'Erkrankungs- und Strukturdaten'!$C$26)&gt;0),1,((H117/'Erkrankungs- und Strukturdaten'!$C$25)*'Erkrankungs- und Strukturdaten'!$E$27)+(H117/'Erkrankungs- und Strukturdaten'!$C$26))</f>
        <v>0</v>
      </c>
      <c r="P117" s="6">
        <f>ROUNDUP(((I117/'Erkrankungs- und Strukturdaten'!$C$28)*'Erkrankungs- und Strukturdaten'!$E$30)+(I117/'Erkrankungs- und Strukturdaten'!$C$29),0)</f>
        <v>0</v>
      </c>
      <c r="Q117" s="6">
        <f>ROUNDUP((H117/'Erkrankungs- und Strukturdaten'!$C$34*'Erkrankungs- und Strukturdaten'!$E$36)+(H117/'Erkrankungs- und Strukturdaten'!$C$35),0)</f>
        <v>0</v>
      </c>
      <c r="R117" s="6">
        <f>ROUNDUP((I117*'Erkrankungs- und Strukturdaten'!$C$40/'Erkrankungs- und Strukturdaten'!$C$38*'Erkrankungs- und Strukturdaten'!$E$39)+(I117*(1-'Erkrankungs- und Strukturdaten'!$C$40)/'Erkrankungs- und Strukturdaten'!$C$37*'Erkrankungs- und Strukturdaten'!$E$39),0)</f>
        <v>0</v>
      </c>
      <c r="S117" s="52"/>
      <c r="U117" s="44">
        <f>((H117/'Erkrankungs- und Strukturdaten'!$C$25)*'Erkrankungs- und Strukturdaten'!$E$27*'Erkrankungs- und Strukturdaten'!$F$27)+(H117/'Erkrankungs- und Strukturdaten'!$C$26*'Erkrankungs- und Strukturdaten'!$G$27)</f>
        <v>0</v>
      </c>
      <c r="V117" s="44">
        <f>(I117/'Erkrankungs- und Strukturdaten'!$C$28*'Erkrankungs- und Strukturdaten'!$E$30*'Erkrankungs- und Strukturdaten'!$F$30)+(I117/'Erkrankungs- und Strukturdaten'!$C$29*'Erkrankungs- und Strukturdaten'!$G$30)</f>
        <v>0</v>
      </c>
      <c r="AB117" s="2">
        <f t="shared" si="3"/>
        <v>44394</v>
      </c>
    </row>
    <row r="118" spans="1:28" ht="15" x14ac:dyDescent="0.2">
      <c r="A118" s="42">
        <v>109</v>
      </c>
      <c r="B118" s="373"/>
      <c r="C118" s="28">
        <f t="shared" si="4"/>
        <v>44395</v>
      </c>
      <c r="D118" s="5">
        <f>SUMIF('Fallzahlen (Berechnung)'!D:D,"&lt;="&amp;Prognoseergebnis!C118,'Fallzahlen (Berechnung)'!E:E)-'Fallzahlen (Berechnung)'!$E$1</f>
        <v>698897.79656085023</v>
      </c>
      <c r="E118" s="115" t="e">
        <f>VLOOKUP(C118,'Fallzahlen (Berechnung)'!$D:$E,'Fallzahlen (Berechnung)'!$E$1,FALSE)</f>
        <v>#N/A</v>
      </c>
      <c r="G118" s="18">
        <v>109</v>
      </c>
      <c r="H118" s="5">
        <f>ROUND('Erkrankungs- und Strukturdaten'!$C$8*D118-IF(G118&gt;'Erkrankungs- und Strukturdaten'!$C$14,VLOOKUP(Prognoseergebnis!G118-ROUNDDOWN('Erkrankungs- und Strukturdaten'!$C$14,0),$A:$D,$D$6,FALSE)*'Erkrankungs- und Strukturdaten'!$C$8,0)
+IF(G118&gt;'Erkrankungs- und Strukturdaten'!$C$15,VLOOKUP(Prognoseergebnis!G118-ROUNDDOWN('Erkrankungs- und Strukturdaten'!$C$15,0),A:D,$D$6,FALSE)*'Erkrankungs- und Strukturdaten'!$C$9,0)
-IF(G118&gt;'Erkrankungs- und Strukturdaten'!$C$15+'Erkrankungs- und Strukturdaten'!$C$16,VLOOKUP(Prognoseergebnis!G118-ROUNDDOWN('Erkrankungs- und Strukturdaten'!$C$15-'Erkrankungs- und Strukturdaten'!$C$16,0),A:D,$D$6,FALSE)*'Erkrankungs- und Strukturdaten'!$C$9,0),0)</f>
        <v>0</v>
      </c>
      <c r="I118" s="5">
        <f>ROUND('Erkrankungs- und Strukturdaten'!$C$9*D118-IF(G118&gt;'Erkrankungs- und Strukturdaten'!$C$15,VLOOKUP(Prognoseergebnis!G118-'Erkrankungs- und Strukturdaten'!$C$15,$A:$D,$D$6,FALSE)*'Erkrankungs- und Strukturdaten'!$C$9,0),0)</f>
        <v>0</v>
      </c>
      <c r="J118" s="5">
        <f>I118*'Erkrankungs- und Strukturdaten'!$C$10/'Erkrankungs- und Strukturdaten'!$C$9</f>
        <v>0</v>
      </c>
      <c r="K118" s="5">
        <f>I118*'Erkrankungs- und Strukturdaten'!$C$21</f>
        <v>0</v>
      </c>
      <c r="L118" s="11"/>
      <c r="M118" s="82">
        <f>SUM($K$66:K118)</f>
        <v>53620</v>
      </c>
      <c r="N118" s="9"/>
      <c r="O118" s="5">
        <f>IF(AND(((H118/'Erkrankungs- und Strukturdaten'!$C$25)*'Erkrankungs- und Strukturdaten'!$E$27)+(H118/'Erkrankungs- und Strukturdaten'!$C$26)&lt;1,((H118/'Erkrankungs- und Strukturdaten'!$C$25)*'Erkrankungs- und Strukturdaten'!$E$27)+(H118/'Erkrankungs- und Strukturdaten'!$C$26)&gt;0),1,((H118/'Erkrankungs- und Strukturdaten'!$C$25)*'Erkrankungs- und Strukturdaten'!$E$27)+(H118/'Erkrankungs- und Strukturdaten'!$C$26))</f>
        <v>0</v>
      </c>
      <c r="P118" s="5">
        <f>ROUNDUP(((I118/'Erkrankungs- und Strukturdaten'!$C$28)*'Erkrankungs- und Strukturdaten'!$E$30)+(I118/'Erkrankungs- und Strukturdaten'!$C$29),0)</f>
        <v>0</v>
      </c>
      <c r="Q118" s="5">
        <f>ROUNDUP((H118/'Erkrankungs- und Strukturdaten'!$C$34*'Erkrankungs- und Strukturdaten'!$E$36)+(H118/'Erkrankungs- und Strukturdaten'!$C$35),0)</f>
        <v>0</v>
      </c>
      <c r="R118" s="5">
        <f>ROUNDUP((I118*'Erkrankungs- und Strukturdaten'!$C$40/'Erkrankungs- und Strukturdaten'!$C$38*'Erkrankungs- und Strukturdaten'!$E$39)+(I118*(1-'Erkrankungs- und Strukturdaten'!$C$40)/'Erkrankungs- und Strukturdaten'!$C$37*'Erkrankungs- und Strukturdaten'!$E$39),0)</f>
        <v>0</v>
      </c>
      <c r="S118" s="52"/>
      <c r="U118" s="44">
        <f>((H118/'Erkrankungs- und Strukturdaten'!$C$25)*'Erkrankungs- und Strukturdaten'!$E$27*'Erkrankungs- und Strukturdaten'!$F$27)+(H118/'Erkrankungs- und Strukturdaten'!$C$26*'Erkrankungs- und Strukturdaten'!$G$27)</f>
        <v>0</v>
      </c>
      <c r="V118" s="44">
        <f>(I118/'Erkrankungs- und Strukturdaten'!$C$28*'Erkrankungs- und Strukturdaten'!$E$30*'Erkrankungs- und Strukturdaten'!$F$30)+(I118/'Erkrankungs- und Strukturdaten'!$C$29*'Erkrankungs- und Strukturdaten'!$G$30)</f>
        <v>0</v>
      </c>
      <c r="AB118" s="2">
        <f t="shared" si="3"/>
        <v>44395</v>
      </c>
    </row>
    <row r="119" spans="1:28" ht="15" x14ac:dyDescent="0.2">
      <c r="A119" s="42">
        <v>110</v>
      </c>
      <c r="B119" s="373"/>
      <c r="C119" s="27">
        <f t="shared" si="4"/>
        <v>44396</v>
      </c>
      <c r="D119" s="6">
        <f>SUMIF('Fallzahlen (Berechnung)'!D:D,"&lt;="&amp;Prognoseergebnis!C119,'Fallzahlen (Berechnung)'!E:E)-'Fallzahlen (Berechnung)'!$E$1</f>
        <v>698897.79656085023</v>
      </c>
      <c r="E119" s="114" t="e">
        <f>VLOOKUP(C119,'Fallzahlen (Berechnung)'!$D:$E,'Fallzahlen (Berechnung)'!$E$1,FALSE)</f>
        <v>#N/A</v>
      </c>
      <c r="G119" s="18">
        <v>110</v>
      </c>
      <c r="H119" s="6">
        <f>ROUND('Erkrankungs- und Strukturdaten'!$C$8*D119-IF(G119&gt;'Erkrankungs- und Strukturdaten'!$C$14,VLOOKUP(Prognoseergebnis!G119-ROUNDDOWN('Erkrankungs- und Strukturdaten'!$C$14,0),$A:$D,$D$6,FALSE)*'Erkrankungs- und Strukturdaten'!$C$8,0)
+IF(G119&gt;'Erkrankungs- und Strukturdaten'!$C$15,VLOOKUP(Prognoseergebnis!G119-ROUNDDOWN('Erkrankungs- und Strukturdaten'!$C$15,0),A:D,$D$6,FALSE)*'Erkrankungs- und Strukturdaten'!$C$9,0)
-IF(G119&gt;'Erkrankungs- und Strukturdaten'!$C$15+'Erkrankungs- und Strukturdaten'!$C$16,VLOOKUP(Prognoseergebnis!G119-ROUNDDOWN('Erkrankungs- und Strukturdaten'!$C$15-'Erkrankungs- und Strukturdaten'!$C$16,0),A:D,$D$6,FALSE)*'Erkrankungs- und Strukturdaten'!$C$9,0),0)</f>
        <v>0</v>
      </c>
      <c r="I119" s="6">
        <f>ROUND('Erkrankungs- und Strukturdaten'!$C$9*D119-IF(G119&gt;'Erkrankungs- und Strukturdaten'!$C$15,VLOOKUP(Prognoseergebnis!G119-'Erkrankungs- und Strukturdaten'!$C$15,$A:$D,$D$6,FALSE)*'Erkrankungs- und Strukturdaten'!$C$9,0),0)</f>
        <v>0</v>
      </c>
      <c r="J119" s="6">
        <f>I119*'Erkrankungs- und Strukturdaten'!$C$10/'Erkrankungs- und Strukturdaten'!$C$9</f>
        <v>0</v>
      </c>
      <c r="K119" s="6">
        <f>I119*'Erkrankungs- und Strukturdaten'!$C$21</f>
        <v>0</v>
      </c>
      <c r="L119" s="11"/>
      <c r="M119" s="82">
        <f>SUM($K$66:K119)</f>
        <v>53620</v>
      </c>
      <c r="N119" s="9"/>
      <c r="O119" s="6">
        <f>IF(AND(((H119/'Erkrankungs- und Strukturdaten'!$C$25)*'Erkrankungs- und Strukturdaten'!$E$27)+(H119/'Erkrankungs- und Strukturdaten'!$C$26)&lt;1,((H119/'Erkrankungs- und Strukturdaten'!$C$25)*'Erkrankungs- und Strukturdaten'!$E$27)+(H119/'Erkrankungs- und Strukturdaten'!$C$26)&gt;0),1,((H119/'Erkrankungs- und Strukturdaten'!$C$25)*'Erkrankungs- und Strukturdaten'!$E$27)+(H119/'Erkrankungs- und Strukturdaten'!$C$26))</f>
        <v>0</v>
      </c>
      <c r="P119" s="6">
        <f>ROUNDUP(((I119/'Erkrankungs- und Strukturdaten'!$C$28)*'Erkrankungs- und Strukturdaten'!$E$30)+(I119/'Erkrankungs- und Strukturdaten'!$C$29),0)</f>
        <v>0</v>
      </c>
      <c r="Q119" s="6">
        <f>ROUNDUP((H119/'Erkrankungs- und Strukturdaten'!$C$34*'Erkrankungs- und Strukturdaten'!$E$36)+(H119/'Erkrankungs- und Strukturdaten'!$C$35),0)</f>
        <v>0</v>
      </c>
      <c r="R119" s="6">
        <f>ROUNDUP((I119*'Erkrankungs- und Strukturdaten'!$C$40/'Erkrankungs- und Strukturdaten'!$C$38*'Erkrankungs- und Strukturdaten'!$E$39)+(I119*(1-'Erkrankungs- und Strukturdaten'!$C$40)/'Erkrankungs- und Strukturdaten'!$C$37*'Erkrankungs- und Strukturdaten'!$E$39),0)</f>
        <v>0</v>
      </c>
      <c r="S119" s="52"/>
      <c r="U119" s="44">
        <f>((H119/'Erkrankungs- und Strukturdaten'!$C$25)*'Erkrankungs- und Strukturdaten'!$E$27*'Erkrankungs- und Strukturdaten'!$F$27)+(H119/'Erkrankungs- und Strukturdaten'!$C$26*'Erkrankungs- und Strukturdaten'!$G$27)</f>
        <v>0</v>
      </c>
      <c r="V119" s="44">
        <f>(I119/'Erkrankungs- und Strukturdaten'!$C$28*'Erkrankungs- und Strukturdaten'!$E$30*'Erkrankungs- und Strukturdaten'!$F$30)+(I119/'Erkrankungs- und Strukturdaten'!$C$29*'Erkrankungs- und Strukturdaten'!$G$30)</f>
        <v>0</v>
      </c>
      <c r="AB119" s="2">
        <f t="shared" si="3"/>
        <v>44396</v>
      </c>
    </row>
    <row r="120" spans="1:28" ht="15" x14ac:dyDescent="0.2">
      <c r="A120" s="42">
        <v>111</v>
      </c>
      <c r="B120" s="373"/>
      <c r="C120" s="28">
        <f t="shared" si="4"/>
        <v>44397</v>
      </c>
      <c r="D120" s="5">
        <f>SUMIF('Fallzahlen (Berechnung)'!D:D,"&lt;="&amp;Prognoseergebnis!C120,'Fallzahlen (Berechnung)'!E:E)-'Fallzahlen (Berechnung)'!$E$1</f>
        <v>698897.79656085023</v>
      </c>
      <c r="E120" s="115" t="e">
        <f>VLOOKUP(C120,'Fallzahlen (Berechnung)'!$D:$E,'Fallzahlen (Berechnung)'!$E$1,FALSE)</f>
        <v>#N/A</v>
      </c>
      <c r="G120" s="18">
        <v>111</v>
      </c>
      <c r="H120" s="5">
        <f>ROUND('Erkrankungs- und Strukturdaten'!$C$8*D120-IF(G120&gt;'Erkrankungs- und Strukturdaten'!$C$14,VLOOKUP(Prognoseergebnis!G120-ROUNDDOWN('Erkrankungs- und Strukturdaten'!$C$14,0),$A:$D,$D$6,FALSE)*'Erkrankungs- und Strukturdaten'!$C$8,0)
+IF(G120&gt;'Erkrankungs- und Strukturdaten'!$C$15,VLOOKUP(Prognoseergebnis!G120-ROUNDDOWN('Erkrankungs- und Strukturdaten'!$C$15,0),A:D,$D$6,FALSE)*'Erkrankungs- und Strukturdaten'!$C$9,0)
-IF(G120&gt;'Erkrankungs- und Strukturdaten'!$C$15+'Erkrankungs- und Strukturdaten'!$C$16,VLOOKUP(Prognoseergebnis!G120-ROUNDDOWN('Erkrankungs- und Strukturdaten'!$C$15-'Erkrankungs- und Strukturdaten'!$C$16,0),A:D,$D$6,FALSE)*'Erkrankungs- und Strukturdaten'!$C$9,0),0)</f>
        <v>0</v>
      </c>
      <c r="I120" s="5">
        <f>ROUND('Erkrankungs- und Strukturdaten'!$C$9*D120-IF(G120&gt;'Erkrankungs- und Strukturdaten'!$C$15,VLOOKUP(Prognoseergebnis!G120-'Erkrankungs- und Strukturdaten'!$C$15,$A:$D,$D$6,FALSE)*'Erkrankungs- und Strukturdaten'!$C$9,0),0)</f>
        <v>0</v>
      </c>
      <c r="J120" s="5">
        <f>I120*'Erkrankungs- und Strukturdaten'!$C$10/'Erkrankungs- und Strukturdaten'!$C$9</f>
        <v>0</v>
      </c>
      <c r="K120" s="5">
        <f>I120*'Erkrankungs- und Strukturdaten'!$C$21</f>
        <v>0</v>
      </c>
      <c r="L120" s="11"/>
      <c r="M120" s="82">
        <f>SUM($K$66:K120)</f>
        <v>53620</v>
      </c>
      <c r="N120" s="9"/>
      <c r="O120" s="5">
        <f>IF(AND(((H120/'Erkrankungs- und Strukturdaten'!$C$25)*'Erkrankungs- und Strukturdaten'!$E$27)+(H120/'Erkrankungs- und Strukturdaten'!$C$26)&lt;1,((H120/'Erkrankungs- und Strukturdaten'!$C$25)*'Erkrankungs- und Strukturdaten'!$E$27)+(H120/'Erkrankungs- und Strukturdaten'!$C$26)&gt;0),1,((H120/'Erkrankungs- und Strukturdaten'!$C$25)*'Erkrankungs- und Strukturdaten'!$E$27)+(H120/'Erkrankungs- und Strukturdaten'!$C$26))</f>
        <v>0</v>
      </c>
      <c r="P120" s="5">
        <f>ROUNDUP(((I120/'Erkrankungs- und Strukturdaten'!$C$28)*'Erkrankungs- und Strukturdaten'!$E$30)+(I120/'Erkrankungs- und Strukturdaten'!$C$29),0)</f>
        <v>0</v>
      </c>
      <c r="Q120" s="5">
        <f>ROUNDUP((H120/'Erkrankungs- und Strukturdaten'!$C$34*'Erkrankungs- und Strukturdaten'!$E$36)+(H120/'Erkrankungs- und Strukturdaten'!$C$35),0)</f>
        <v>0</v>
      </c>
      <c r="R120" s="5">
        <f>ROUNDUP((I120*'Erkrankungs- und Strukturdaten'!$C$40/'Erkrankungs- und Strukturdaten'!$C$38*'Erkrankungs- und Strukturdaten'!$E$39)+(I120*(1-'Erkrankungs- und Strukturdaten'!$C$40)/'Erkrankungs- und Strukturdaten'!$C$37*'Erkrankungs- und Strukturdaten'!$E$39),0)</f>
        <v>0</v>
      </c>
      <c r="S120" s="52"/>
      <c r="U120" s="44">
        <f>((H120/'Erkrankungs- und Strukturdaten'!$C$25)*'Erkrankungs- und Strukturdaten'!$E$27*'Erkrankungs- und Strukturdaten'!$F$27)+(H120/'Erkrankungs- und Strukturdaten'!$C$26*'Erkrankungs- und Strukturdaten'!$G$27)</f>
        <v>0</v>
      </c>
      <c r="V120" s="44">
        <f>(I120/'Erkrankungs- und Strukturdaten'!$C$28*'Erkrankungs- und Strukturdaten'!$E$30*'Erkrankungs- und Strukturdaten'!$F$30)+(I120/'Erkrankungs- und Strukturdaten'!$C$29*'Erkrankungs- und Strukturdaten'!$G$30)</f>
        <v>0</v>
      </c>
      <c r="AB120" s="2">
        <f t="shared" si="3"/>
        <v>44397</v>
      </c>
    </row>
    <row r="121" spans="1:28" ht="15" x14ac:dyDescent="0.2">
      <c r="A121" s="42">
        <v>112</v>
      </c>
      <c r="B121" s="373"/>
      <c r="C121" s="73">
        <f t="shared" si="4"/>
        <v>44398</v>
      </c>
      <c r="D121" s="74">
        <f>SUMIF('Fallzahlen (Berechnung)'!D:D,"&lt;="&amp;Prognoseergebnis!C121,'Fallzahlen (Berechnung)'!E:E)-'Fallzahlen (Berechnung)'!$E$1</f>
        <v>698897.79656085023</v>
      </c>
      <c r="E121" s="119" t="e">
        <f>VLOOKUP(C121,'Fallzahlen (Berechnung)'!$D:$E,'Fallzahlen (Berechnung)'!$E$1,FALSE)</f>
        <v>#N/A</v>
      </c>
      <c r="G121" s="18">
        <v>112</v>
      </c>
      <c r="H121" s="74">
        <f>ROUND('Erkrankungs- und Strukturdaten'!$C$8*D121-IF(G121&gt;'Erkrankungs- und Strukturdaten'!$C$14,VLOOKUP(Prognoseergebnis!G121-ROUNDDOWN('Erkrankungs- und Strukturdaten'!$C$14,0),$A:$D,$D$6,FALSE)*'Erkrankungs- und Strukturdaten'!$C$8,0)
+IF(G121&gt;'Erkrankungs- und Strukturdaten'!$C$15,VLOOKUP(Prognoseergebnis!G121-ROUNDDOWN('Erkrankungs- und Strukturdaten'!$C$15,0),A:D,$D$6,FALSE)*'Erkrankungs- und Strukturdaten'!$C$9,0)
-IF(G121&gt;'Erkrankungs- und Strukturdaten'!$C$15+'Erkrankungs- und Strukturdaten'!$C$16,VLOOKUP(Prognoseergebnis!G121-ROUNDDOWN('Erkrankungs- und Strukturdaten'!$C$15-'Erkrankungs- und Strukturdaten'!$C$16,0),A:D,$D$6,FALSE)*'Erkrankungs- und Strukturdaten'!$C$9,0),0)</f>
        <v>0</v>
      </c>
      <c r="I121" s="74">
        <f>ROUND('Erkrankungs- und Strukturdaten'!$C$9*D121-IF(G121&gt;'Erkrankungs- und Strukturdaten'!$C$15,VLOOKUP(Prognoseergebnis!G121-'Erkrankungs- und Strukturdaten'!$C$15,$A:$D,$D$6,FALSE)*'Erkrankungs- und Strukturdaten'!$C$9,0),0)</f>
        <v>0</v>
      </c>
      <c r="J121" s="74">
        <f>I121*'Erkrankungs- und Strukturdaten'!$C$10/'Erkrankungs- und Strukturdaten'!$C$9</f>
        <v>0</v>
      </c>
      <c r="K121" s="74">
        <f>I121*'Erkrankungs- und Strukturdaten'!$C$21</f>
        <v>0</v>
      </c>
      <c r="L121" s="11"/>
      <c r="M121" s="82">
        <f>SUM($K$66:K121)</f>
        <v>53620</v>
      </c>
      <c r="N121" s="9"/>
      <c r="O121" s="74">
        <f>IF(AND(((H121/'Erkrankungs- und Strukturdaten'!$C$25)*'Erkrankungs- und Strukturdaten'!$E$27)+(H121/'Erkrankungs- und Strukturdaten'!$C$26)&lt;1,((H121/'Erkrankungs- und Strukturdaten'!$C$25)*'Erkrankungs- und Strukturdaten'!$E$27)+(H121/'Erkrankungs- und Strukturdaten'!$C$26)&gt;0),1,((H121/'Erkrankungs- und Strukturdaten'!$C$25)*'Erkrankungs- und Strukturdaten'!$E$27)+(H121/'Erkrankungs- und Strukturdaten'!$C$26))</f>
        <v>0</v>
      </c>
      <c r="P121" s="74">
        <f>ROUNDUP(((I121/'Erkrankungs- und Strukturdaten'!$C$28)*'Erkrankungs- und Strukturdaten'!$E$30)+(I121/'Erkrankungs- und Strukturdaten'!$C$29),0)</f>
        <v>0</v>
      </c>
      <c r="Q121" s="74">
        <f>ROUNDUP((H121/'Erkrankungs- und Strukturdaten'!$C$34*'Erkrankungs- und Strukturdaten'!$E$36)+(H121/'Erkrankungs- und Strukturdaten'!$C$35),0)</f>
        <v>0</v>
      </c>
      <c r="R121" s="74">
        <f>ROUNDUP((I121*'Erkrankungs- und Strukturdaten'!$C$40/'Erkrankungs- und Strukturdaten'!$C$38*'Erkrankungs- und Strukturdaten'!$E$39)+(I121*(1-'Erkrankungs- und Strukturdaten'!$C$40)/'Erkrankungs- und Strukturdaten'!$C$37*'Erkrankungs- und Strukturdaten'!$E$39),0)</f>
        <v>0</v>
      </c>
      <c r="S121" s="52"/>
      <c r="U121" s="44">
        <f>((H121/'Erkrankungs- und Strukturdaten'!$C$25)*'Erkrankungs- und Strukturdaten'!$E$27*'Erkrankungs- und Strukturdaten'!$F$27)+(H121/'Erkrankungs- und Strukturdaten'!$C$26*'Erkrankungs- und Strukturdaten'!$G$27)</f>
        <v>0</v>
      </c>
      <c r="V121" s="44">
        <f>(I121/'Erkrankungs- und Strukturdaten'!$C$28*'Erkrankungs- und Strukturdaten'!$E$30*'Erkrankungs- und Strukturdaten'!$F$30)+(I121/'Erkrankungs- und Strukturdaten'!$C$29*'Erkrankungs- und Strukturdaten'!$G$30)</f>
        <v>0</v>
      </c>
      <c r="AB121" s="2">
        <f t="shared" si="3"/>
        <v>44398</v>
      </c>
    </row>
    <row r="122" spans="1:28" ht="15" x14ac:dyDescent="0.2">
      <c r="A122" s="42">
        <v>113</v>
      </c>
      <c r="B122" s="375" t="s">
        <v>38</v>
      </c>
      <c r="C122" s="78">
        <f t="shared" si="4"/>
        <v>44399</v>
      </c>
      <c r="D122" s="4">
        <f>SUMIF('Fallzahlen (Berechnung)'!D:D,"&lt;="&amp;Prognoseergebnis!C122,'Fallzahlen (Berechnung)'!E:E)-'Fallzahlen (Berechnung)'!$E$1</f>
        <v>698897.79656085023</v>
      </c>
      <c r="E122" s="116" t="e">
        <f>VLOOKUP(C122,'Fallzahlen (Berechnung)'!$D:$E,'Fallzahlen (Berechnung)'!$E$1,FALSE)</f>
        <v>#N/A</v>
      </c>
      <c r="G122" s="18">
        <v>113</v>
      </c>
      <c r="H122" s="4">
        <f>ROUND('Erkrankungs- und Strukturdaten'!$C$8*D122-IF(G122&gt;'Erkrankungs- und Strukturdaten'!$C$14,VLOOKUP(Prognoseergebnis!G122-ROUNDDOWN('Erkrankungs- und Strukturdaten'!$C$14,0),$A:$D,$D$6,FALSE)*'Erkrankungs- und Strukturdaten'!$C$8,0)
+IF(G122&gt;'Erkrankungs- und Strukturdaten'!$C$15,VLOOKUP(Prognoseergebnis!G122-ROUNDDOWN('Erkrankungs- und Strukturdaten'!$C$15,0),A:D,$D$6,FALSE)*'Erkrankungs- und Strukturdaten'!$C$9,0)
-IF(G122&gt;'Erkrankungs- und Strukturdaten'!$C$15+'Erkrankungs- und Strukturdaten'!$C$16,VLOOKUP(Prognoseergebnis!G122-ROUNDDOWN('Erkrankungs- und Strukturdaten'!$C$15-'Erkrankungs- und Strukturdaten'!$C$16,0),A:D,$D$6,FALSE)*'Erkrankungs- und Strukturdaten'!$C$9,0),0)</f>
        <v>0</v>
      </c>
      <c r="I122" s="4">
        <f>ROUND('Erkrankungs- und Strukturdaten'!$C$9*D122-IF(G122&gt;'Erkrankungs- und Strukturdaten'!$C$15,VLOOKUP(Prognoseergebnis!G122-'Erkrankungs- und Strukturdaten'!$C$15,$A:$D,$D$6,FALSE)*'Erkrankungs- und Strukturdaten'!$C$9,0),0)</f>
        <v>0</v>
      </c>
      <c r="J122" s="4">
        <f>I122*'Erkrankungs- und Strukturdaten'!$C$10/'Erkrankungs- und Strukturdaten'!$C$9</f>
        <v>0</v>
      </c>
      <c r="K122" s="4">
        <f>I122*'Erkrankungs- und Strukturdaten'!$C$21</f>
        <v>0</v>
      </c>
      <c r="L122" s="11"/>
      <c r="M122" s="82">
        <f>SUM($K$66:K122)</f>
        <v>53620</v>
      </c>
      <c r="N122" s="9"/>
      <c r="O122" s="4">
        <f>IF(AND(((H122/'Erkrankungs- und Strukturdaten'!$C$25)*'Erkrankungs- und Strukturdaten'!$E$27)+(H122/'Erkrankungs- und Strukturdaten'!$C$26)&lt;1,((H122/'Erkrankungs- und Strukturdaten'!$C$25)*'Erkrankungs- und Strukturdaten'!$E$27)+(H122/'Erkrankungs- und Strukturdaten'!$C$26)&gt;0),1,((H122/'Erkrankungs- und Strukturdaten'!$C$25)*'Erkrankungs- und Strukturdaten'!$E$27)+(H122/'Erkrankungs- und Strukturdaten'!$C$26))</f>
        <v>0</v>
      </c>
      <c r="P122" s="4">
        <f>ROUNDUP(((I122/'Erkrankungs- und Strukturdaten'!$C$28)*'Erkrankungs- und Strukturdaten'!$E$30)+(I122/'Erkrankungs- und Strukturdaten'!$C$29),0)</f>
        <v>0</v>
      </c>
      <c r="Q122" s="4">
        <f>ROUNDUP((H122/'Erkrankungs- und Strukturdaten'!$C$34*'Erkrankungs- und Strukturdaten'!$E$36)+(H122/'Erkrankungs- und Strukturdaten'!$C$35),0)</f>
        <v>0</v>
      </c>
      <c r="R122" s="4">
        <f>ROUNDUP((I122*'Erkrankungs- und Strukturdaten'!$C$40/'Erkrankungs- und Strukturdaten'!$C$38*'Erkrankungs- und Strukturdaten'!$E$39)+(I122*(1-'Erkrankungs- und Strukturdaten'!$C$40)/'Erkrankungs- und Strukturdaten'!$C$37*'Erkrankungs- und Strukturdaten'!$E$39),0)</f>
        <v>0</v>
      </c>
      <c r="S122" s="52"/>
      <c r="U122" s="44">
        <f>((H122/'Erkrankungs- und Strukturdaten'!$C$25)*'Erkrankungs- und Strukturdaten'!$E$27*'Erkrankungs- und Strukturdaten'!$F$27)+(H122/'Erkrankungs- und Strukturdaten'!$C$26*'Erkrankungs- und Strukturdaten'!$G$27)</f>
        <v>0</v>
      </c>
      <c r="V122" s="44">
        <f>(I122/'Erkrankungs- und Strukturdaten'!$C$28*'Erkrankungs- und Strukturdaten'!$E$30*'Erkrankungs- und Strukturdaten'!$F$30)+(I122/'Erkrankungs- und Strukturdaten'!$C$29*'Erkrankungs- und Strukturdaten'!$G$30)</f>
        <v>0</v>
      </c>
      <c r="AB122" s="2">
        <f t="shared" si="3"/>
        <v>44399</v>
      </c>
    </row>
    <row r="123" spans="1:28" ht="15" x14ac:dyDescent="0.2">
      <c r="A123" s="42">
        <v>114</v>
      </c>
      <c r="B123" s="375"/>
      <c r="C123" s="27">
        <f t="shared" si="4"/>
        <v>44400</v>
      </c>
      <c r="D123" s="6">
        <f>SUMIF('Fallzahlen (Berechnung)'!D:D,"&lt;="&amp;Prognoseergebnis!C123,'Fallzahlen (Berechnung)'!E:E)-'Fallzahlen (Berechnung)'!$E$1</f>
        <v>698897.79656085023</v>
      </c>
      <c r="E123" s="114" t="e">
        <f>VLOOKUP(C123,'Fallzahlen (Berechnung)'!$D:$E,'Fallzahlen (Berechnung)'!$E$1,FALSE)</f>
        <v>#N/A</v>
      </c>
      <c r="G123" s="18">
        <v>114</v>
      </c>
      <c r="H123" s="6">
        <f>ROUND('Erkrankungs- und Strukturdaten'!$C$8*D123-IF(G123&gt;'Erkrankungs- und Strukturdaten'!$C$14,VLOOKUP(Prognoseergebnis!G123-ROUNDDOWN('Erkrankungs- und Strukturdaten'!$C$14,0),$A:$D,$D$6,FALSE)*'Erkrankungs- und Strukturdaten'!$C$8,0)
+IF(G123&gt;'Erkrankungs- und Strukturdaten'!$C$15,VLOOKUP(Prognoseergebnis!G123-ROUNDDOWN('Erkrankungs- und Strukturdaten'!$C$15,0),A:D,$D$6,FALSE)*'Erkrankungs- und Strukturdaten'!$C$9,0)
-IF(G123&gt;'Erkrankungs- und Strukturdaten'!$C$15+'Erkrankungs- und Strukturdaten'!$C$16,VLOOKUP(Prognoseergebnis!G123-ROUNDDOWN('Erkrankungs- und Strukturdaten'!$C$15-'Erkrankungs- und Strukturdaten'!$C$16,0),A:D,$D$6,FALSE)*'Erkrankungs- und Strukturdaten'!$C$9,0),0)</f>
        <v>0</v>
      </c>
      <c r="I123" s="6">
        <f>ROUND('Erkrankungs- und Strukturdaten'!$C$9*D123-IF(G123&gt;'Erkrankungs- und Strukturdaten'!$C$15,VLOOKUP(Prognoseergebnis!G123-'Erkrankungs- und Strukturdaten'!$C$15,$A:$D,$D$6,FALSE)*'Erkrankungs- und Strukturdaten'!$C$9,0),0)</f>
        <v>0</v>
      </c>
      <c r="J123" s="6">
        <f>I123*'Erkrankungs- und Strukturdaten'!$C$10/'Erkrankungs- und Strukturdaten'!$C$9</f>
        <v>0</v>
      </c>
      <c r="K123" s="6">
        <f>I123*'Erkrankungs- und Strukturdaten'!$C$21</f>
        <v>0</v>
      </c>
      <c r="L123" s="11"/>
      <c r="M123" s="82">
        <f>SUM($K$66:K123)</f>
        <v>53620</v>
      </c>
      <c r="N123" s="9"/>
      <c r="O123" s="6">
        <f>IF(AND(((H123/'Erkrankungs- und Strukturdaten'!$C$25)*'Erkrankungs- und Strukturdaten'!$E$27)+(H123/'Erkrankungs- und Strukturdaten'!$C$26)&lt;1,((H123/'Erkrankungs- und Strukturdaten'!$C$25)*'Erkrankungs- und Strukturdaten'!$E$27)+(H123/'Erkrankungs- und Strukturdaten'!$C$26)&gt;0),1,((H123/'Erkrankungs- und Strukturdaten'!$C$25)*'Erkrankungs- und Strukturdaten'!$E$27)+(H123/'Erkrankungs- und Strukturdaten'!$C$26))</f>
        <v>0</v>
      </c>
      <c r="P123" s="6">
        <f>ROUNDUP(((I123/'Erkrankungs- und Strukturdaten'!$C$28)*'Erkrankungs- und Strukturdaten'!$E$30)+(I123/'Erkrankungs- und Strukturdaten'!$C$29),0)</f>
        <v>0</v>
      </c>
      <c r="Q123" s="6">
        <f>ROUNDUP((H123/'Erkrankungs- und Strukturdaten'!$C$34*'Erkrankungs- und Strukturdaten'!$E$36)+(H123/'Erkrankungs- und Strukturdaten'!$C$35),0)</f>
        <v>0</v>
      </c>
      <c r="R123" s="6">
        <f>ROUNDUP((I123*'Erkrankungs- und Strukturdaten'!$C$40/'Erkrankungs- und Strukturdaten'!$C$38*'Erkrankungs- und Strukturdaten'!$E$39)+(I123*(1-'Erkrankungs- und Strukturdaten'!$C$40)/'Erkrankungs- und Strukturdaten'!$C$37*'Erkrankungs- und Strukturdaten'!$E$39),0)</f>
        <v>0</v>
      </c>
      <c r="S123" s="52"/>
      <c r="U123" s="44">
        <f>((H123/'Erkrankungs- und Strukturdaten'!$C$25)*'Erkrankungs- und Strukturdaten'!$E$27*'Erkrankungs- und Strukturdaten'!$F$27)+(H123/'Erkrankungs- und Strukturdaten'!$C$26*'Erkrankungs- und Strukturdaten'!$G$27)</f>
        <v>0</v>
      </c>
      <c r="V123" s="44">
        <f>(I123/'Erkrankungs- und Strukturdaten'!$C$28*'Erkrankungs- und Strukturdaten'!$E$30*'Erkrankungs- und Strukturdaten'!$F$30)+(I123/'Erkrankungs- und Strukturdaten'!$C$29*'Erkrankungs- und Strukturdaten'!$G$30)</f>
        <v>0</v>
      </c>
      <c r="AB123" s="2">
        <f t="shared" si="3"/>
        <v>44400</v>
      </c>
    </row>
    <row r="124" spans="1:28" ht="15" x14ac:dyDescent="0.2">
      <c r="A124" s="42">
        <v>115</v>
      </c>
      <c r="B124" s="375"/>
      <c r="C124" s="28">
        <f t="shared" si="4"/>
        <v>44401</v>
      </c>
      <c r="D124" s="5">
        <f>SUMIF('Fallzahlen (Berechnung)'!D:D,"&lt;="&amp;Prognoseergebnis!C124,'Fallzahlen (Berechnung)'!E:E)-'Fallzahlen (Berechnung)'!$E$1</f>
        <v>698897.79656085023</v>
      </c>
      <c r="E124" s="115" t="e">
        <f>VLOOKUP(C124,'Fallzahlen (Berechnung)'!$D:$E,'Fallzahlen (Berechnung)'!$E$1,FALSE)</f>
        <v>#N/A</v>
      </c>
      <c r="G124" s="18">
        <v>115</v>
      </c>
      <c r="H124" s="5">
        <f>ROUND('Erkrankungs- und Strukturdaten'!$C$8*D124-IF(G124&gt;'Erkrankungs- und Strukturdaten'!$C$14,VLOOKUP(Prognoseergebnis!G124-ROUNDDOWN('Erkrankungs- und Strukturdaten'!$C$14,0),$A:$D,$D$6,FALSE)*'Erkrankungs- und Strukturdaten'!$C$8,0)
+IF(G124&gt;'Erkrankungs- und Strukturdaten'!$C$15,VLOOKUP(Prognoseergebnis!G124-ROUNDDOWN('Erkrankungs- und Strukturdaten'!$C$15,0),A:D,$D$6,FALSE)*'Erkrankungs- und Strukturdaten'!$C$9,0)
-IF(G124&gt;'Erkrankungs- und Strukturdaten'!$C$15+'Erkrankungs- und Strukturdaten'!$C$16,VLOOKUP(Prognoseergebnis!G124-ROUNDDOWN('Erkrankungs- und Strukturdaten'!$C$15-'Erkrankungs- und Strukturdaten'!$C$16,0),A:D,$D$6,FALSE)*'Erkrankungs- und Strukturdaten'!$C$9,0),0)</f>
        <v>0</v>
      </c>
      <c r="I124" s="5">
        <f>ROUND('Erkrankungs- und Strukturdaten'!$C$9*D124-IF(G124&gt;'Erkrankungs- und Strukturdaten'!$C$15,VLOOKUP(Prognoseergebnis!G124-'Erkrankungs- und Strukturdaten'!$C$15,$A:$D,$D$6,FALSE)*'Erkrankungs- und Strukturdaten'!$C$9,0),0)</f>
        <v>0</v>
      </c>
      <c r="J124" s="5">
        <f>I124*'Erkrankungs- und Strukturdaten'!$C$10/'Erkrankungs- und Strukturdaten'!$C$9</f>
        <v>0</v>
      </c>
      <c r="K124" s="5">
        <f>I124*'Erkrankungs- und Strukturdaten'!$C$21</f>
        <v>0</v>
      </c>
      <c r="L124" s="11"/>
      <c r="M124" s="82">
        <f>SUM($K$66:K124)</f>
        <v>53620</v>
      </c>
      <c r="N124" s="9"/>
      <c r="O124" s="5">
        <f>IF(AND(((H124/'Erkrankungs- und Strukturdaten'!$C$25)*'Erkrankungs- und Strukturdaten'!$E$27)+(H124/'Erkrankungs- und Strukturdaten'!$C$26)&lt;1,((H124/'Erkrankungs- und Strukturdaten'!$C$25)*'Erkrankungs- und Strukturdaten'!$E$27)+(H124/'Erkrankungs- und Strukturdaten'!$C$26)&gt;0),1,((H124/'Erkrankungs- und Strukturdaten'!$C$25)*'Erkrankungs- und Strukturdaten'!$E$27)+(H124/'Erkrankungs- und Strukturdaten'!$C$26))</f>
        <v>0</v>
      </c>
      <c r="P124" s="5">
        <f>ROUNDUP(((I124/'Erkrankungs- und Strukturdaten'!$C$28)*'Erkrankungs- und Strukturdaten'!$E$30)+(I124/'Erkrankungs- und Strukturdaten'!$C$29),0)</f>
        <v>0</v>
      </c>
      <c r="Q124" s="5">
        <f>ROUNDUP((H124/'Erkrankungs- und Strukturdaten'!$C$34*'Erkrankungs- und Strukturdaten'!$E$36)+(H124/'Erkrankungs- und Strukturdaten'!$C$35),0)</f>
        <v>0</v>
      </c>
      <c r="R124" s="5">
        <f>ROUNDUP((I124*'Erkrankungs- und Strukturdaten'!$C$40/'Erkrankungs- und Strukturdaten'!$C$38*'Erkrankungs- und Strukturdaten'!$E$39)+(I124*(1-'Erkrankungs- und Strukturdaten'!$C$40)/'Erkrankungs- und Strukturdaten'!$C$37*'Erkrankungs- und Strukturdaten'!$E$39),0)</f>
        <v>0</v>
      </c>
      <c r="S124" s="52"/>
      <c r="U124" s="44">
        <f>((H124/'Erkrankungs- und Strukturdaten'!$C$25)*'Erkrankungs- und Strukturdaten'!$E$27*'Erkrankungs- und Strukturdaten'!$F$27)+(H124/'Erkrankungs- und Strukturdaten'!$C$26*'Erkrankungs- und Strukturdaten'!$G$27)</f>
        <v>0</v>
      </c>
      <c r="V124" s="44">
        <f>(I124/'Erkrankungs- und Strukturdaten'!$C$28*'Erkrankungs- und Strukturdaten'!$E$30*'Erkrankungs- und Strukturdaten'!$F$30)+(I124/'Erkrankungs- und Strukturdaten'!$C$29*'Erkrankungs- und Strukturdaten'!$G$30)</f>
        <v>0</v>
      </c>
      <c r="AB124" s="2">
        <f t="shared" si="3"/>
        <v>44401</v>
      </c>
    </row>
    <row r="125" spans="1:28" ht="15" x14ac:dyDescent="0.2">
      <c r="A125" s="42">
        <v>116</v>
      </c>
      <c r="B125" s="375"/>
      <c r="C125" s="27">
        <f t="shared" si="4"/>
        <v>44402</v>
      </c>
      <c r="D125" s="6">
        <f>SUMIF('Fallzahlen (Berechnung)'!D:D,"&lt;="&amp;Prognoseergebnis!C125,'Fallzahlen (Berechnung)'!E:E)-'Fallzahlen (Berechnung)'!$E$1</f>
        <v>698897.79656085023</v>
      </c>
      <c r="E125" s="114" t="e">
        <f>VLOOKUP(C125,'Fallzahlen (Berechnung)'!$D:$E,'Fallzahlen (Berechnung)'!$E$1,FALSE)</f>
        <v>#N/A</v>
      </c>
      <c r="G125" s="18">
        <v>116</v>
      </c>
      <c r="H125" s="6">
        <f>ROUND('Erkrankungs- und Strukturdaten'!$C$8*D125-IF(G125&gt;'Erkrankungs- und Strukturdaten'!$C$14,VLOOKUP(Prognoseergebnis!G125-ROUNDDOWN('Erkrankungs- und Strukturdaten'!$C$14,0),$A:$D,$D$6,FALSE)*'Erkrankungs- und Strukturdaten'!$C$8,0)
+IF(G125&gt;'Erkrankungs- und Strukturdaten'!$C$15,VLOOKUP(Prognoseergebnis!G125-ROUNDDOWN('Erkrankungs- und Strukturdaten'!$C$15,0),A:D,$D$6,FALSE)*'Erkrankungs- und Strukturdaten'!$C$9,0)
-IF(G125&gt;'Erkrankungs- und Strukturdaten'!$C$15+'Erkrankungs- und Strukturdaten'!$C$16,VLOOKUP(Prognoseergebnis!G125-ROUNDDOWN('Erkrankungs- und Strukturdaten'!$C$15-'Erkrankungs- und Strukturdaten'!$C$16,0),A:D,$D$6,FALSE)*'Erkrankungs- und Strukturdaten'!$C$9,0),0)</f>
        <v>0</v>
      </c>
      <c r="I125" s="6">
        <f>ROUND('Erkrankungs- und Strukturdaten'!$C$9*D125-IF(G125&gt;'Erkrankungs- und Strukturdaten'!$C$15,VLOOKUP(Prognoseergebnis!G125-'Erkrankungs- und Strukturdaten'!$C$15,$A:$D,$D$6,FALSE)*'Erkrankungs- und Strukturdaten'!$C$9,0),0)</f>
        <v>0</v>
      </c>
      <c r="J125" s="6">
        <f>I125*'Erkrankungs- und Strukturdaten'!$C$10/'Erkrankungs- und Strukturdaten'!$C$9</f>
        <v>0</v>
      </c>
      <c r="K125" s="6">
        <f>I125*'Erkrankungs- und Strukturdaten'!$C$21</f>
        <v>0</v>
      </c>
      <c r="L125" s="11"/>
      <c r="M125" s="82">
        <f>SUM($K$66:K125)</f>
        <v>53620</v>
      </c>
      <c r="N125" s="9"/>
      <c r="O125" s="6">
        <f>IF(AND(((H125/'Erkrankungs- und Strukturdaten'!$C$25)*'Erkrankungs- und Strukturdaten'!$E$27)+(H125/'Erkrankungs- und Strukturdaten'!$C$26)&lt;1,((H125/'Erkrankungs- und Strukturdaten'!$C$25)*'Erkrankungs- und Strukturdaten'!$E$27)+(H125/'Erkrankungs- und Strukturdaten'!$C$26)&gt;0),1,((H125/'Erkrankungs- und Strukturdaten'!$C$25)*'Erkrankungs- und Strukturdaten'!$E$27)+(H125/'Erkrankungs- und Strukturdaten'!$C$26))</f>
        <v>0</v>
      </c>
      <c r="P125" s="6">
        <f>ROUNDUP(((I125/'Erkrankungs- und Strukturdaten'!$C$28)*'Erkrankungs- und Strukturdaten'!$E$30)+(I125/'Erkrankungs- und Strukturdaten'!$C$29),0)</f>
        <v>0</v>
      </c>
      <c r="Q125" s="6">
        <f>ROUNDUP((H125/'Erkrankungs- und Strukturdaten'!$C$34*'Erkrankungs- und Strukturdaten'!$E$36)+(H125/'Erkrankungs- und Strukturdaten'!$C$35),0)</f>
        <v>0</v>
      </c>
      <c r="R125" s="6">
        <f>ROUNDUP((I125*'Erkrankungs- und Strukturdaten'!$C$40/'Erkrankungs- und Strukturdaten'!$C$38*'Erkrankungs- und Strukturdaten'!$E$39)+(I125*(1-'Erkrankungs- und Strukturdaten'!$C$40)/'Erkrankungs- und Strukturdaten'!$C$37*'Erkrankungs- und Strukturdaten'!$E$39),0)</f>
        <v>0</v>
      </c>
      <c r="S125" s="52"/>
      <c r="U125" s="44">
        <f>((H125/'Erkrankungs- und Strukturdaten'!$C$25)*'Erkrankungs- und Strukturdaten'!$E$27*'Erkrankungs- und Strukturdaten'!$F$27)+(H125/'Erkrankungs- und Strukturdaten'!$C$26*'Erkrankungs- und Strukturdaten'!$G$27)</f>
        <v>0</v>
      </c>
      <c r="V125" s="44">
        <f>(I125/'Erkrankungs- und Strukturdaten'!$C$28*'Erkrankungs- und Strukturdaten'!$E$30*'Erkrankungs- und Strukturdaten'!$F$30)+(I125/'Erkrankungs- und Strukturdaten'!$C$29*'Erkrankungs- und Strukturdaten'!$G$30)</f>
        <v>0</v>
      </c>
      <c r="AB125" s="2">
        <f t="shared" si="3"/>
        <v>44402</v>
      </c>
    </row>
    <row r="126" spans="1:28" ht="15" x14ac:dyDescent="0.2">
      <c r="A126" s="42">
        <v>117</v>
      </c>
      <c r="B126" s="375"/>
      <c r="C126" s="28">
        <f t="shared" si="4"/>
        <v>44403</v>
      </c>
      <c r="D126" s="5">
        <f>SUMIF('Fallzahlen (Berechnung)'!D:D,"&lt;="&amp;Prognoseergebnis!C126,'Fallzahlen (Berechnung)'!E:E)-'Fallzahlen (Berechnung)'!$E$1</f>
        <v>698897.79656085023</v>
      </c>
      <c r="E126" s="115" t="e">
        <f>VLOOKUP(C126,'Fallzahlen (Berechnung)'!$D:$E,'Fallzahlen (Berechnung)'!$E$1,FALSE)</f>
        <v>#N/A</v>
      </c>
      <c r="G126" s="18">
        <v>117</v>
      </c>
      <c r="H126" s="5">
        <f>ROUND('Erkrankungs- und Strukturdaten'!$C$8*D126-IF(G126&gt;'Erkrankungs- und Strukturdaten'!$C$14,VLOOKUP(Prognoseergebnis!G126-ROUNDDOWN('Erkrankungs- und Strukturdaten'!$C$14,0),$A:$D,$D$6,FALSE)*'Erkrankungs- und Strukturdaten'!$C$8,0)
+IF(G126&gt;'Erkrankungs- und Strukturdaten'!$C$15,VLOOKUP(Prognoseergebnis!G126-ROUNDDOWN('Erkrankungs- und Strukturdaten'!$C$15,0),A:D,$D$6,FALSE)*'Erkrankungs- und Strukturdaten'!$C$9,0)
-IF(G126&gt;'Erkrankungs- und Strukturdaten'!$C$15+'Erkrankungs- und Strukturdaten'!$C$16,VLOOKUP(Prognoseergebnis!G126-ROUNDDOWN('Erkrankungs- und Strukturdaten'!$C$15-'Erkrankungs- und Strukturdaten'!$C$16,0),A:D,$D$6,FALSE)*'Erkrankungs- und Strukturdaten'!$C$9,0),0)</f>
        <v>0</v>
      </c>
      <c r="I126" s="5">
        <f>ROUND('Erkrankungs- und Strukturdaten'!$C$9*D126-IF(G126&gt;'Erkrankungs- und Strukturdaten'!$C$15,VLOOKUP(Prognoseergebnis!G126-'Erkrankungs- und Strukturdaten'!$C$15,$A:$D,$D$6,FALSE)*'Erkrankungs- und Strukturdaten'!$C$9,0),0)</f>
        <v>0</v>
      </c>
      <c r="J126" s="5">
        <f>I126*'Erkrankungs- und Strukturdaten'!$C$10/'Erkrankungs- und Strukturdaten'!$C$9</f>
        <v>0</v>
      </c>
      <c r="K126" s="5">
        <f>I126*'Erkrankungs- und Strukturdaten'!$C$21</f>
        <v>0</v>
      </c>
      <c r="L126" s="11"/>
      <c r="M126" s="82">
        <f>SUM($K$66:K126)</f>
        <v>53620</v>
      </c>
      <c r="N126" s="9"/>
      <c r="O126" s="5">
        <f>IF(AND(((H126/'Erkrankungs- und Strukturdaten'!$C$25)*'Erkrankungs- und Strukturdaten'!$E$27)+(H126/'Erkrankungs- und Strukturdaten'!$C$26)&lt;1,((H126/'Erkrankungs- und Strukturdaten'!$C$25)*'Erkrankungs- und Strukturdaten'!$E$27)+(H126/'Erkrankungs- und Strukturdaten'!$C$26)&gt;0),1,((H126/'Erkrankungs- und Strukturdaten'!$C$25)*'Erkrankungs- und Strukturdaten'!$E$27)+(H126/'Erkrankungs- und Strukturdaten'!$C$26))</f>
        <v>0</v>
      </c>
      <c r="P126" s="5">
        <f>ROUNDUP(((I126/'Erkrankungs- und Strukturdaten'!$C$28)*'Erkrankungs- und Strukturdaten'!$E$30)+(I126/'Erkrankungs- und Strukturdaten'!$C$29),0)</f>
        <v>0</v>
      </c>
      <c r="Q126" s="5">
        <f>ROUNDUP((H126/'Erkrankungs- und Strukturdaten'!$C$34*'Erkrankungs- und Strukturdaten'!$E$36)+(H126/'Erkrankungs- und Strukturdaten'!$C$35),0)</f>
        <v>0</v>
      </c>
      <c r="R126" s="5">
        <f>ROUNDUP((I126*'Erkrankungs- und Strukturdaten'!$C$40/'Erkrankungs- und Strukturdaten'!$C$38*'Erkrankungs- und Strukturdaten'!$E$39)+(I126*(1-'Erkrankungs- und Strukturdaten'!$C$40)/'Erkrankungs- und Strukturdaten'!$C$37*'Erkrankungs- und Strukturdaten'!$E$39),0)</f>
        <v>0</v>
      </c>
      <c r="S126" s="52"/>
      <c r="U126" s="44">
        <f>((H126/'Erkrankungs- und Strukturdaten'!$C$25)*'Erkrankungs- und Strukturdaten'!$E$27*'Erkrankungs- und Strukturdaten'!$F$27)+(H126/'Erkrankungs- und Strukturdaten'!$C$26*'Erkrankungs- und Strukturdaten'!$G$27)</f>
        <v>0</v>
      </c>
      <c r="V126" s="44">
        <f>(I126/'Erkrankungs- und Strukturdaten'!$C$28*'Erkrankungs- und Strukturdaten'!$E$30*'Erkrankungs- und Strukturdaten'!$F$30)+(I126/'Erkrankungs- und Strukturdaten'!$C$29*'Erkrankungs- und Strukturdaten'!$G$30)</f>
        <v>0</v>
      </c>
      <c r="AB126" s="2">
        <f t="shared" si="3"/>
        <v>44403</v>
      </c>
    </row>
    <row r="127" spans="1:28" ht="15" x14ac:dyDescent="0.2">
      <c r="A127" s="42">
        <v>118</v>
      </c>
      <c r="B127" s="375"/>
      <c r="C127" s="27">
        <f t="shared" si="4"/>
        <v>44404</v>
      </c>
      <c r="D127" s="6">
        <f>SUMIF('Fallzahlen (Berechnung)'!D:D,"&lt;="&amp;Prognoseergebnis!C127,'Fallzahlen (Berechnung)'!E:E)-'Fallzahlen (Berechnung)'!$E$1</f>
        <v>698897.79656085023</v>
      </c>
      <c r="E127" s="114" t="e">
        <f>VLOOKUP(C127,'Fallzahlen (Berechnung)'!$D:$E,'Fallzahlen (Berechnung)'!$E$1,FALSE)</f>
        <v>#N/A</v>
      </c>
      <c r="G127" s="18">
        <v>118</v>
      </c>
      <c r="H127" s="6">
        <f>ROUND('Erkrankungs- und Strukturdaten'!$C$8*D127-IF(G127&gt;'Erkrankungs- und Strukturdaten'!$C$14,VLOOKUP(Prognoseergebnis!G127-ROUNDDOWN('Erkrankungs- und Strukturdaten'!$C$14,0),$A:$D,$D$6,FALSE)*'Erkrankungs- und Strukturdaten'!$C$8,0)
+IF(G127&gt;'Erkrankungs- und Strukturdaten'!$C$15,VLOOKUP(Prognoseergebnis!G127-ROUNDDOWN('Erkrankungs- und Strukturdaten'!$C$15,0),A:D,$D$6,FALSE)*'Erkrankungs- und Strukturdaten'!$C$9,0)
-IF(G127&gt;'Erkrankungs- und Strukturdaten'!$C$15+'Erkrankungs- und Strukturdaten'!$C$16,VLOOKUP(Prognoseergebnis!G127-ROUNDDOWN('Erkrankungs- und Strukturdaten'!$C$15-'Erkrankungs- und Strukturdaten'!$C$16,0),A:D,$D$6,FALSE)*'Erkrankungs- und Strukturdaten'!$C$9,0),0)</f>
        <v>0</v>
      </c>
      <c r="I127" s="6">
        <f>ROUND('Erkrankungs- und Strukturdaten'!$C$9*D127-IF(G127&gt;'Erkrankungs- und Strukturdaten'!$C$15,VLOOKUP(Prognoseergebnis!G127-'Erkrankungs- und Strukturdaten'!$C$15,$A:$D,$D$6,FALSE)*'Erkrankungs- und Strukturdaten'!$C$9,0),0)</f>
        <v>0</v>
      </c>
      <c r="J127" s="6">
        <f>I127*'Erkrankungs- und Strukturdaten'!$C$10/'Erkrankungs- und Strukturdaten'!$C$9</f>
        <v>0</v>
      </c>
      <c r="K127" s="6">
        <f>I127*'Erkrankungs- und Strukturdaten'!$C$21</f>
        <v>0</v>
      </c>
      <c r="L127" s="11"/>
      <c r="M127" s="82">
        <f>SUM($K$66:K127)</f>
        <v>53620</v>
      </c>
      <c r="N127" s="9"/>
      <c r="O127" s="6">
        <f>IF(AND(((H127/'Erkrankungs- und Strukturdaten'!$C$25)*'Erkrankungs- und Strukturdaten'!$E$27)+(H127/'Erkrankungs- und Strukturdaten'!$C$26)&lt;1,((H127/'Erkrankungs- und Strukturdaten'!$C$25)*'Erkrankungs- und Strukturdaten'!$E$27)+(H127/'Erkrankungs- und Strukturdaten'!$C$26)&gt;0),1,((H127/'Erkrankungs- und Strukturdaten'!$C$25)*'Erkrankungs- und Strukturdaten'!$E$27)+(H127/'Erkrankungs- und Strukturdaten'!$C$26))</f>
        <v>0</v>
      </c>
      <c r="P127" s="6">
        <f>ROUNDUP(((I127/'Erkrankungs- und Strukturdaten'!$C$28)*'Erkrankungs- und Strukturdaten'!$E$30)+(I127/'Erkrankungs- und Strukturdaten'!$C$29),0)</f>
        <v>0</v>
      </c>
      <c r="Q127" s="6">
        <f>ROUNDUP((H127/'Erkrankungs- und Strukturdaten'!$C$34*'Erkrankungs- und Strukturdaten'!$E$36)+(H127/'Erkrankungs- und Strukturdaten'!$C$35),0)</f>
        <v>0</v>
      </c>
      <c r="R127" s="6">
        <f>ROUNDUP((I127*'Erkrankungs- und Strukturdaten'!$C$40/'Erkrankungs- und Strukturdaten'!$C$38*'Erkrankungs- und Strukturdaten'!$E$39)+(I127*(1-'Erkrankungs- und Strukturdaten'!$C$40)/'Erkrankungs- und Strukturdaten'!$C$37*'Erkrankungs- und Strukturdaten'!$E$39),0)</f>
        <v>0</v>
      </c>
      <c r="S127" s="52"/>
      <c r="U127" s="44">
        <f>((H127/'Erkrankungs- und Strukturdaten'!$C$25)*'Erkrankungs- und Strukturdaten'!$E$27*'Erkrankungs- und Strukturdaten'!$F$27)+(H127/'Erkrankungs- und Strukturdaten'!$C$26*'Erkrankungs- und Strukturdaten'!$G$27)</f>
        <v>0</v>
      </c>
      <c r="V127" s="44">
        <f>(I127/'Erkrankungs- und Strukturdaten'!$C$28*'Erkrankungs- und Strukturdaten'!$E$30*'Erkrankungs- und Strukturdaten'!$F$30)+(I127/'Erkrankungs- und Strukturdaten'!$C$29*'Erkrankungs- und Strukturdaten'!$G$30)</f>
        <v>0</v>
      </c>
      <c r="AB127" s="2">
        <f t="shared" si="3"/>
        <v>44404</v>
      </c>
    </row>
    <row r="128" spans="1:28" ht="15" x14ac:dyDescent="0.2">
      <c r="A128" s="42">
        <v>119</v>
      </c>
      <c r="B128" s="375"/>
      <c r="C128" s="29">
        <f t="shared" si="4"/>
        <v>44405</v>
      </c>
      <c r="D128" s="30">
        <f>SUMIF('Fallzahlen (Berechnung)'!D:D,"&lt;="&amp;Prognoseergebnis!C128,'Fallzahlen (Berechnung)'!E:E)-'Fallzahlen (Berechnung)'!$E$1</f>
        <v>698897.79656085023</v>
      </c>
      <c r="E128" s="117" t="e">
        <f>VLOOKUP(C128,'Fallzahlen (Berechnung)'!$D:$E,'Fallzahlen (Berechnung)'!$E$1,FALSE)</f>
        <v>#N/A</v>
      </c>
      <c r="G128" s="18">
        <v>119</v>
      </c>
      <c r="H128" s="30">
        <f>ROUND('Erkrankungs- und Strukturdaten'!$C$8*D128-IF(G128&gt;'Erkrankungs- und Strukturdaten'!$C$14,VLOOKUP(Prognoseergebnis!G128-ROUNDDOWN('Erkrankungs- und Strukturdaten'!$C$14,0),$A:$D,$D$6,FALSE)*'Erkrankungs- und Strukturdaten'!$C$8,0)
+IF(G128&gt;'Erkrankungs- und Strukturdaten'!$C$15,VLOOKUP(Prognoseergebnis!G128-ROUNDDOWN('Erkrankungs- und Strukturdaten'!$C$15,0),A:D,$D$6,FALSE)*'Erkrankungs- und Strukturdaten'!$C$9,0)
-IF(G128&gt;'Erkrankungs- und Strukturdaten'!$C$15+'Erkrankungs- und Strukturdaten'!$C$16,VLOOKUP(Prognoseergebnis!G128-ROUNDDOWN('Erkrankungs- und Strukturdaten'!$C$15-'Erkrankungs- und Strukturdaten'!$C$16,0),A:D,$D$6,FALSE)*'Erkrankungs- und Strukturdaten'!$C$9,0),0)</f>
        <v>0</v>
      </c>
      <c r="I128" s="30">
        <f>ROUND('Erkrankungs- und Strukturdaten'!$C$9*D128-IF(G128&gt;'Erkrankungs- und Strukturdaten'!$C$15,VLOOKUP(Prognoseergebnis!G128-'Erkrankungs- und Strukturdaten'!$C$15,$A:$D,$D$6,FALSE)*'Erkrankungs- und Strukturdaten'!$C$9,0),0)</f>
        <v>0</v>
      </c>
      <c r="J128" s="30">
        <f>I128*'Erkrankungs- und Strukturdaten'!$C$10/'Erkrankungs- und Strukturdaten'!$C$9</f>
        <v>0</v>
      </c>
      <c r="K128" s="30">
        <f>I128*'Erkrankungs- und Strukturdaten'!$C$21</f>
        <v>0</v>
      </c>
      <c r="L128" s="11"/>
      <c r="M128" s="82">
        <f>SUM($K$66:K128)</f>
        <v>53620</v>
      </c>
      <c r="N128" s="9"/>
      <c r="O128" s="30">
        <f>IF(AND(((H128/'Erkrankungs- und Strukturdaten'!$C$25)*'Erkrankungs- und Strukturdaten'!$E$27)+(H128/'Erkrankungs- und Strukturdaten'!$C$26)&lt;1,((H128/'Erkrankungs- und Strukturdaten'!$C$25)*'Erkrankungs- und Strukturdaten'!$E$27)+(H128/'Erkrankungs- und Strukturdaten'!$C$26)&gt;0),1,((H128/'Erkrankungs- und Strukturdaten'!$C$25)*'Erkrankungs- und Strukturdaten'!$E$27)+(H128/'Erkrankungs- und Strukturdaten'!$C$26))</f>
        <v>0</v>
      </c>
      <c r="P128" s="30">
        <f>ROUNDUP(((I128/'Erkrankungs- und Strukturdaten'!$C$28)*'Erkrankungs- und Strukturdaten'!$E$30)+(I128/'Erkrankungs- und Strukturdaten'!$C$29),0)</f>
        <v>0</v>
      </c>
      <c r="Q128" s="30">
        <f>ROUNDUP((H128/'Erkrankungs- und Strukturdaten'!$C$34*'Erkrankungs- und Strukturdaten'!$E$36)+(H128/'Erkrankungs- und Strukturdaten'!$C$35),0)</f>
        <v>0</v>
      </c>
      <c r="R128" s="30">
        <f>ROUNDUP((I128*'Erkrankungs- und Strukturdaten'!$C$40/'Erkrankungs- und Strukturdaten'!$C$38*'Erkrankungs- und Strukturdaten'!$E$39)+(I128*(1-'Erkrankungs- und Strukturdaten'!$C$40)/'Erkrankungs- und Strukturdaten'!$C$37*'Erkrankungs- und Strukturdaten'!$E$39),0)</f>
        <v>0</v>
      </c>
      <c r="S128" s="52"/>
      <c r="U128" s="44">
        <f>((H128/'Erkrankungs- und Strukturdaten'!$C$25)*'Erkrankungs- und Strukturdaten'!$E$27*'Erkrankungs- und Strukturdaten'!$F$27)+(H128/'Erkrankungs- und Strukturdaten'!$C$26*'Erkrankungs- und Strukturdaten'!$G$27)</f>
        <v>0</v>
      </c>
      <c r="V128" s="44">
        <f>(I128/'Erkrankungs- und Strukturdaten'!$C$28*'Erkrankungs- und Strukturdaten'!$E$30*'Erkrankungs- und Strukturdaten'!$F$30)+(I128/'Erkrankungs- und Strukturdaten'!$C$29*'Erkrankungs- und Strukturdaten'!$G$30)</f>
        <v>0</v>
      </c>
      <c r="AB128" s="2">
        <f t="shared" si="3"/>
        <v>44405</v>
      </c>
    </row>
    <row r="129" spans="1:28" ht="15" x14ac:dyDescent="0.2">
      <c r="A129" s="42">
        <v>120</v>
      </c>
      <c r="B129" s="373" t="s">
        <v>39</v>
      </c>
      <c r="C129" s="76">
        <f t="shared" si="4"/>
        <v>44406</v>
      </c>
      <c r="D129" s="77">
        <f>SUMIF('Fallzahlen (Berechnung)'!D:D,"&lt;="&amp;Prognoseergebnis!C129,'Fallzahlen (Berechnung)'!E:E)-'Fallzahlen (Berechnung)'!$E$1</f>
        <v>698897.79656085023</v>
      </c>
      <c r="E129" s="118" t="e">
        <f>VLOOKUP(C129,'Fallzahlen (Berechnung)'!$D:$E,'Fallzahlen (Berechnung)'!$E$1,FALSE)</f>
        <v>#N/A</v>
      </c>
      <c r="G129" s="18">
        <v>120</v>
      </c>
      <c r="H129" s="77">
        <f>ROUND('Erkrankungs- und Strukturdaten'!$C$8*D129-IF(G129&gt;'Erkrankungs- und Strukturdaten'!$C$14,VLOOKUP(Prognoseergebnis!G129-ROUNDDOWN('Erkrankungs- und Strukturdaten'!$C$14,0),$A:$D,$D$6,FALSE)*'Erkrankungs- und Strukturdaten'!$C$8,0)
+IF(G129&gt;'Erkrankungs- und Strukturdaten'!$C$15,VLOOKUP(Prognoseergebnis!G129-ROUNDDOWN('Erkrankungs- und Strukturdaten'!$C$15,0),A:D,$D$6,FALSE)*'Erkrankungs- und Strukturdaten'!$C$9,0)
-IF(G129&gt;'Erkrankungs- und Strukturdaten'!$C$15+'Erkrankungs- und Strukturdaten'!$C$16,VLOOKUP(Prognoseergebnis!G129-ROUNDDOWN('Erkrankungs- und Strukturdaten'!$C$15-'Erkrankungs- und Strukturdaten'!$C$16,0),A:D,$D$6,FALSE)*'Erkrankungs- und Strukturdaten'!$C$9,0),0)</f>
        <v>0</v>
      </c>
      <c r="I129" s="77">
        <f>ROUND('Erkrankungs- und Strukturdaten'!$C$9*D129-IF(G129&gt;'Erkrankungs- und Strukturdaten'!$C$15,VLOOKUP(Prognoseergebnis!G129-'Erkrankungs- und Strukturdaten'!$C$15,$A:$D,$D$6,FALSE)*'Erkrankungs- und Strukturdaten'!$C$9,0),0)</f>
        <v>0</v>
      </c>
      <c r="J129" s="77">
        <f>I129*'Erkrankungs- und Strukturdaten'!$C$10/'Erkrankungs- und Strukturdaten'!$C$9</f>
        <v>0</v>
      </c>
      <c r="K129" s="77">
        <f>I129*'Erkrankungs- und Strukturdaten'!$C$21</f>
        <v>0</v>
      </c>
      <c r="L129" s="11"/>
      <c r="M129" s="82">
        <f>SUM($K$66:K129)</f>
        <v>53620</v>
      </c>
      <c r="N129" s="9"/>
      <c r="O129" s="77">
        <f>IF(AND(((H129/'Erkrankungs- und Strukturdaten'!$C$25)*'Erkrankungs- und Strukturdaten'!$E$27)+(H129/'Erkrankungs- und Strukturdaten'!$C$26)&lt;1,((H129/'Erkrankungs- und Strukturdaten'!$C$25)*'Erkrankungs- und Strukturdaten'!$E$27)+(H129/'Erkrankungs- und Strukturdaten'!$C$26)&gt;0),1,((H129/'Erkrankungs- und Strukturdaten'!$C$25)*'Erkrankungs- und Strukturdaten'!$E$27)+(H129/'Erkrankungs- und Strukturdaten'!$C$26))</f>
        <v>0</v>
      </c>
      <c r="P129" s="77">
        <f>ROUNDUP(((I129/'Erkrankungs- und Strukturdaten'!$C$28)*'Erkrankungs- und Strukturdaten'!$E$30)+(I129/'Erkrankungs- und Strukturdaten'!$C$29),0)</f>
        <v>0</v>
      </c>
      <c r="Q129" s="77">
        <f>ROUNDUP((H129/'Erkrankungs- und Strukturdaten'!$C$34*'Erkrankungs- und Strukturdaten'!$E$36)+(H129/'Erkrankungs- und Strukturdaten'!$C$35),0)</f>
        <v>0</v>
      </c>
      <c r="R129" s="77">
        <f>ROUNDUP((I129*'Erkrankungs- und Strukturdaten'!$C$40/'Erkrankungs- und Strukturdaten'!$C$38*'Erkrankungs- und Strukturdaten'!$E$39)+(I129*(1-'Erkrankungs- und Strukturdaten'!$C$40)/'Erkrankungs- und Strukturdaten'!$C$37*'Erkrankungs- und Strukturdaten'!$E$39),0)</f>
        <v>0</v>
      </c>
      <c r="S129" s="52"/>
      <c r="U129" s="44">
        <f>((H129/'Erkrankungs- und Strukturdaten'!$C$25)*'Erkrankungs- und Strukturdaten'!$E$27*'Erkrankungs- und Strukturdaten'!$F$27)+(H129/'Erkrankungs- und Strukturdaten'!$C$26*'Erkrankungs- und Strukturdaten'!$G$27)</f>
        <v>0</v>
      </c>
      <c r="V129" s="44">
        <f>(I129/'Erkrankungs- und Strukturdaten'!$C$28*'Erkrankungs- und Strukturdaten'!$E$30*'Erkrankungs- und Strukturdaten'!$F$30)+(I129/'Erkrankungs- und Strukturdaten'!$C$29*'Erkrankungs- und Strukturdaten'!$G$30)</f>
        <v>0</v>
      </c>
      <c r="AB129" s="2">
        <f t="shared" si="3"/>
        <v>44406</v>
      </c>
    </row>
    <row r="130" spans="1:28" ht="15" x14ac:dyDescent="0.2">
      <c r="A130" s="42">
        <v>121</v>
      </c>
      <c r="B130" s="373"/>
      <c r="C130" s="28">
        <f t="shared" si="4"/>
        <v>44407</v>
      </c>
      <c r="D130" s="5">
        <f>SUMIF('Fallzahlen (Berechnung)'!D:D,"&lt;="&amp;Prognoseergebnis!C130,'Fallzahlen (Berechnung)'!E:E)-'Fallzahlen (Berechnung)'!$E$1</f>
        <v>698897.79656085023</v>
      </c>
      <c r="E130" s="115" t="e">
        <f>VLOOKUP(C130,'Fallzahlen (Berechnung)'!$D:$E,'Fallzahlen (Berechnung)'!$E$1,FALSE)</f>
        <v>#N/A</v>
      </c>
      <c r="G130" s="18">
        <v>121</v>
      </c>
      <c r="H130" s="5">
        <f>ROUND('Erkrankungs- und Strukturdaten'!$C$8*D130-IF(G130&gt;'Erkrankungs- und Strukturdaten'!$C$14,VLOOKUP(Prognoseergebnis!G130-ROUNDDOWN('Erkrankungs- und Strukturdaten'!$C$14,0),$A:$D,$D$6,FALSE)*'Erkrankungs- und Strukturdaten'!$C$8,0)
+IF(G130&gt;'Erkrankungs- und Strukturdaten'!$C$15,VLOOKUP(Prognoseergebnis!G130-ROUNDDOWN('Erkrankungs- und Strukturdaten'!$C$15,0),A:D,$D$6,FALSE)*'Erkrankungs- und Strukturdaten'!$C$9,0)
-IF(G130&gt;'Erkrankungs- und Strukturdaten'!$C$15+'Erkrankungs- und Strukturdaten'!$C$16,VLOOKUP(Prognoseergebnis!G130-ROUNDDOWN('Erkrankungs- und Strukturdaten'!$C$15-'Erkrankungs- und Strukturdaten'!$C$16,0),A:D,$D$6,FALSE)*'Erkrankungs- und Strukturdaten'!$C$9,0),0)</f>
        <v>0</v>
      </c>
      <c r="I130" s="5">
        <f>ROUND('Erkrankungs- und Strukturdaten'!$C$9*D130-IF(G130&gt;'Erkrankungs- und Strukturdaten'!$C$15,VLOOKUP(Prognoseergebnis!G130-'Erkrankungs- und Strukturdaten'!$C$15,$A:$D,$D$6,FALSE)*'Erkrankungs- und Strukturdaten'!$C$9,0),0)</f>
        <v>0</v>
      </c>
      <c r="J130" s="5">
        <f>I130*'Erkrankungs- und Strukturdaten'!$C$10/'Erkrankungs- und Strukturdaten'!$C$9</f>
        <v>0</v>
      </c>
      <c r="K130" s="5">
        <f>I130*'Erkrankungs- und Strukturdaten'!$C$21</f>
        <v>0</v>
      </c>
      <c r="L130" s="11"/>
      <c r="M130" s="82">
        <f>SUM($K$66:K130)</f>
        <v>53620</v>
      </c>
      <c r="N130" s="9"/>
      <c r="O130" s="5">
        <f>IF(AND(((H130/'Erkrankungs- und Strukturdaten'!$C$25)*'Erkrankungs- und Strukturdaten'!$E$27)+(H130/'Erkrankungs- und Strukturdaten'!$C$26)&lt;1,((H130/'Erkrankungs- und Strukturdaten'!$C$25)*'Erkrankungs- und Strukturdaten'!$E$27)+(H130/'Erkrankungs- und Strukturdaten'!$C$26)&gt;0),1,((H130/'Erkrankungs- und Strukturdaten'!$C$25)*'Erkrankungs- und Strukturdaten'!$E$27)+(H130/'Erkrankungs- und Strukturdaten'!$C$26))</f>
        <v>0</v>
      </c>
      <c r="P130" s="5">
        <f>ROUNDUP(((I130/'Erkrankungs- und Strukturdaten'!$C$28)*'Erkrankungs- und Strukturdaten'!$E$30)+(I130/'Erkrankungs- und Strukturdaten'!$C$29),0)</f>
        <v>0</v>
      </c>
      <c r="Q130" s="5">
        <f>ROUNDUP((H130/'Erkrankungs- und Strukturdaten'!$C$34*'Erkrankungs- und Strukturdaten'!$E$36)+(H130/'Erkrankungs- und Strukturdaten'!$C$35),0)</f>
        <v>0</v>
      </c>
      <c r="R130" s="5">
        <f>ROUNDUP((I130*'Erkrankungs- und Strukturdaten'!$C$40/'Erkrankungs- und Strukturdaten'!$C$38*'Erkrankungs- und Strukturdaten'!$E$39)+(I130*(1-'Erkrankungs- und Strukturdaten'!$C$40)/'Erkrankungs- und Strukturdaten'!$C$37*'Erkrankungs- und Strukturdaten'!$E$39),0)</f>
        <v>0</v>
      </c>
      <c r="S130" s="52"/>
      <c r="U130" s="44">
        <f>((H130/'Erkrankungs- und Strukturdaten'!$C$25)*'Erkrankungs- und Strukturdaten'!$E$27*'Erkrankungs- und Strukturdaten'!$F$27)+(H130/'Erkrankungs- und Strukturdaten'!$C$26*'Erkrankungs- und Strukturdaten'!$G$27)</f>
        <v>0</v>
      </c>
      <c r="V130" s="44">
        <f>(I130/'Erkrankungs- und Strukturdaten'!$C$28*'Erkrankungs- und Strukturdaten'!$E$30*'Erkrankungs- und Strukturdaten'!$F$30)+(I130/'Erkrankungs- und Strukturdaten'!$C$29*'Erkrankungs- und Strukturdaten'!$G$30)</f>
        <v>0</v>
      </c>
      <c r="AB130" s="2">
        <f t="shared" si="3"/>
        <v>44407</v>
      </c>
    </row>
    <row r="131" spans="1:28" ht="15" x14ac:dyDescent="0.2">
      <c r="A131" s="42">
        <v>122</v>
      </c>
      <c r="B131" s="373"/>
      <c r="C131" s="27">
        <f t="shared" ref="C131:C170" si="5">C130+1</f>
        <v>44408</v>
      </c>
      <c r="D131" s="6">
        <f>SUMIF('Fallzahlen (Berechnung)'!D:D,"&lt;="&amp;Prognoseergebnis!C131,'Fallzahlen (Berechnung)'!E:E)-'Fallzahlen (Berechnung)'!$E$1</f>
        <v>698897.79656085023</v>
      </c>
      <c r="E131" s="114" t="e">
        <f>VLOOKUP(C131,'Fallzahlen (Berechnung)'!$D:$E,'Fallzahlen (Berechnung)'!$E$1,FALSE)</f>
        <v>#N/A</v>
      </c>
      <c r="G131" s="18">
        <v>122</v>
      </c>
      <c r="H131" s="6">
        <f>ROUND('Erkrankungs- und Strukturdaten'!$C$8*D131-IF(G131&gt;'Erkrankungs- und Strukturdaten'!$C$14,VLOOKUP(Prognoseergebnis!G131-ROUNDDOWN('Erkrankungs- und Strukturdaten'!$C$14,0),$A:$D,$D$6,FALSE)*'Erkrankungs- und Strukturdaten'!$C$8,0)
+IF(G131&gt;'Erkrankungs- und Strukturdaten'!$C$15,VLOOKUP(Prognoseergebnis!G131-ROUNDDOWN('Erkrankungs- und Strukturdaten'!$C$15,0),A:D,$D$6,FALSE)*'Erkrankungs- und Strukturdaten'!$C$9,0)
-IF(G131&gt;'Erkrankungs- und Strukturdaten'!$C$15+'Erkrankungs- und Strukturdaten'!$C$16,VLOOKUP(Prognoseergebnis!G131-ROUNDDOWN('Erkrankungs- und Strukturdaten'!$C$15-'Erkrankungs- und Strukturdaten'!$C$16,0),A:D,$D$6,FALSE)*'Erkrankungs- und Strukturdaten'!$C$9,0),0)</f>
        <v>0</v>
      </c>
      <c r="I131" s="6">
        <f>ROUND('Erkrankungs- und Strukturdaten'!$C$9*D131-IF(G131&gt;'Erkrankungs- und Strukturdaten'!$C$15,VLOOKUP(Prognoseergebnis!G131-'Erkrankungs- und Strukturdaten'!$C$15,$A:$D,$D$6,FALSE)*'Erkrankungs- und Strukturdaten'!$C$9,0),0)</f>
        <v>0</v>
      </c>
      <c r="J131" s="6">
        <f>I131*'Erkrankungs- und Strukturdaten'!$C$10/'Erkrankungs- und Strukturdaten'!$C$9</f>
        <v>0</v>
      </c>
      <c r="K131" s="6">
        <f>I131*'Erkrankungs- und Strukturdaten'!$C$21</f>
        <v>0</v>
      </c>
      <c r="L131" s="11"/>
      <c r="M131" s="82">
        <f>SUM($K$66:K131)</f>
        <v>53620</v>
      </c>
      <c r="N131" s="9"/>
      <c r="O131" s="6">
        <f>IF(AND(((H131/'Erkrankungs- und Strukturdaten'!$C$25)*'Erkrankungs- und Strukturdaten'!$E$27)+(H131/'Erkrankungs- und Strukturdaten'!$C$26)&lt;1,((H131/'Erkrankungs- und Strukturdaten'!$C$25)*'Erkrankungs- und Strukturdaten'!$E$27)+(H131/'Erkrankungs- und Strukturdaten'!$C$26)&gt;0),1,((H131/'Erkrankungs- und Strukturdaten'!$C$25)*'Erkrankungs- und Strukturdaten'!$E$27)+(H131/'Erkrankungs- und Strukturdaten'!$C$26))</f>
        <v>0</v>
      </c>
      <c r="P131" s="6">
        <f>ROUNDUP(((I131/'Erkrankungs- und Strukturdaten'!$C$28)*'Erkrankungs- und Strukturdaten'!$E$30)+(I131/'Erkrankungs- und Strukturdaten'!$C$29),0)</f>
        <v>0</v>
      </c>
      <c r="Q131" s="6">
        <f>ROUNDUP((H131/'Erkrankungs- und Strukturdaten'!$C$34*'Erkrankungs- und Strukturdaten'!$E$36)+(H131/'Erkrankungs- und Strukturdaten'!$C$35),0)</f>
        <v>0</v>
      </c>
      <c r="R131" s="6">
        <f>ROUNDUP((I131*'Erkrankungs- und Strukturdaten'!$C$40/'Erkrankungs- und Strukturdaten'!$C$38*'Erkrankungs- und Strukturdaten'!$E$39)+(I131*(1-'Erkrankungs- und Strukturdaten'!$C$40)/'Erkrankungs- und Strukturdaten'!$C$37*'Erkrankungs- und Strukturdaten'!$E$39),0)</f>
        <v>0</v>
      </c>
      <c r="S131" s="52"/>
      <c r="U131" s="44">
        <f>((H131/'Erkrankungs- und Strukturdaten'!$C$25)*'Erkrankungs- und Strukturdaten'!$E$27*'Erkrankungs- und Strukturdaten'!$F$27)+(H131/'Erkrankungs- und Strukturdaten'!$C$26*'Erkrankungs- und Strukturdaten'!$G$27)</f>
        <v>0</v>
      </c>
      <c r="V131" s="44">
        <f>(I131/'Erkrankungs- und Strukturdaten'!$C$28*'Erkrankungs- und Strukturdaten'!$E$30*'Erkrankungs- und Strukturdaten'!$F$30)+(I131/'Erkrankungs- und Strukturdaten'!$C$29*'Erkrankungs- und Strukturdaten'!$G$30)</f>
        <v>0</v>
      </c>
      <c r="AB131" s="2">
        <f>C131</f>
        <v>44408</v>
      </c>
    </row>
    <row r="132" spans="1:28" ht="15" x14ac:dyDescent="0.2">
      <c r="A132" s="42">
        <v>123</v>
      </c>
      <c r="B132" s="373"/>
      <c r="C132" s="28">
        <f t="shared" si="5"/>
        <v>44409</v>
      </c>
      <c r="D132" s="5">
        <f>SUMIF('Fallzahlen (Berechnung)'!D:D,"&lt;="&amp;Prognoseergebnis!C132,'Fallzahlen (Berechnung)'!E:E)-'Fallzahlen (Berechnung)'!$E$1</f>
        <v>698897.79656085023</v>
      </c>
      <c r="E132" s="115" t="e">
        <f>VLOOKUP(C132,'Fallzahlen (Berechnung)'!$D:$E,'Fallzahlen (Berechnung)'!$E$1,FALSE)</f>
        <v>#N/A</v>
      </c>
      <c r="G132" s="18">
        <v>123</v>
      </c>
      <c r="H132" s="5">
        <f>ROUND('Erkrankungs- und Strukturdaten'!$C$8*D132-IF(G132&gt;'Erkrankungs- und Strukturdaten'!$C$14,VLOOKUP(Prognoseergebnis!G132-ROUNDDOWN('Erkrankungs- und Strukturdaten'!$C$14,0),$A:$D,$D$6,FALSE)*'Erkrankungs- und Strukturdaten'!$C$8,0)
+IF(G132&gt;'Erkrankungs- und Strukturdaten'!$C$15,VLOOKUP(Prognoseergebnis!G132-ROUNDDOWN('Erkrankungs- und Strukturdaten'!$C$15,0),A:D,$D$6,FALSE)*'Erkrankungs- und Strukturdaten'!$C$9,0)
-IF(G132&gt;'Erkrankungs- und Strukturdaten'!$C$15+'Erkrankungs- und Strukturdaten'!$C$16,VLOOKUP(Prognoseergebnis!G132-ROUNDDOWN('Erkrankungs- und Strukturdaten'!$C$15-'Erkrankungs- und Strukturdaten'!$C$16,0),A:D,$D$6,FALSE)*'Erkrankungs- und Strukturdaten'!$C$9,0),0)</f>
        <v>0</v>
      </c>
      <c r="I132" s="5">
        <f>ROUND('Erkrankungs- und Strukturdaten'!$C$9*D132-IF(G132&gt;'Erkrankungs- und Strukturdaten'!$C$15,VLOOKUP(Prognoseergebnis!G132-'Erkrankungs- und Strukturdaten'!$C$15,$A:$D,$D$6,FALSE)*'Erkrankungs- und Strukturdaten'!$C$9,0),0)</f>
        <v>0</v>
      </c>
      <c r="J132" s="5">
        <f>I132*'Erkrankungs- und Strukturdaten'!$C$10/'Erkrankungs- und Strukturdaten'!$C$9</f>
        <v>0</v>
      </c>
      <c r="K132" s="5">
        <f>I132*'Erkrankungs- und Strukturdaten'!$C$21</f>
        <v>0</v>
      </c>
      <c r="L132" s="11"/>
      <c r="M132" s="82">
        <f>SUM($K$66:K132)</f>
        <v>53620</v>
      </c>
      <c r="N132" s="9"/>
      <c r="O132" s="5">
        <f>IF(AND(((H132/'Erkrankungs- und Strukturdaten'!$C$25)*'Erkrankungs- und Strukturdaten'!$E$27)+(H132/'Erkrankungs- und Strukturdaten'!$C$26)&lt;1,((H132/'Erkrankungs- und Strukturdaten'!$C$25)*'Erkrankungs- und Strukturdaten'!$E$27)+(H132/'Erkrankungs- und Strukturdaten'!$C$26)&gt;0),1,((H132/'Erkrankungs- und Strukturdaten'!$C$25)*'Erkrankungs- und Strukturdaten'!$E$27)+(H132/'Erkrankungs- und Strukturdaten'!$C$26))</f>
        <v>0</v>
      </c>
      <c r="P132" s="5">
        <f>ROUNDUP(((I132/'Erkrankungs- und Strukturdaten'!$C$28)*'Erkrankungs- und Strukturdaten'!$E$30)+(I132/'Erkrankungs- und Strukturdaten'!$C$29),0)</f>
        <v>0</v>
      </c>
      <c r="Q132" s="5">
        <f>ROUNDUP((H132/'Erkrankungs- und Strukturdaten'!$C$34*'Erkrankungs- und Strukturdaten'!$E$36)+(H132/'Erkrankungs- und Strukturdaten'!$C$35),0)</f>
        <v>0</v>
      </c>
      <c r="R132" s="5">
        <f>ROUNDUP((I132*'Erkrankungs- und Strukturdaten'!$C$40/'Erkrankungs- und Strukturdaten'!$C$38*'Erkrankungs- und Strukturdaten'!$E$39)+(I132*(1-'Erkrankungs- und Strukturdaten'!$C$40)/'Erkrankungs- und Strukturdaten'!$C$37*'Erkrankungs- und Strukturdaten'!$E$39),0)</f>
        <v>0</v>
      </c>
      <c r="S132" s="52"/>
      <c r="U132" s="44">
        <f>((H132/'Erkrankungs- und Strukturdaten'!$C$25)*'Erkrankungs- und Strukturdaten'!$E$27*'Erkrankungs- und Strukturdaten'!$F$27)+(H132/'Erkrankungs- und Strukturdaten'!$C$26*'Erkrankungs- und Strukturdaten'!$G$27)</f>
        <v>0</v>
      </c>
      <c r="V132" s="44">
        <f>(I132/'Erkrankungs- und Strukturdaten'!$C$28*'Erkrankungs- und Strukturdaten'!$E$30*'Erkrankungs- und Strukturdaten'!$F$30)+(I132/'Erkrankungs- und Strukturdaten'!$C$29*'Erkrankungs- und Strukturdaten'!$G$30)</f>
        <v>0</v>
      </c>
      <c r="AB132" s="2">
        <f>C132</f>
        <v>44409</v>
      </c>
    </row>
    <row r="133" spans="1:28" ht="15" x14ac:dyDescent="0.2">
      <c r="A133" s="42">
        <v>124</v>
      </c>
      <c r="B133" s="373"/>
      <c r="C133" s="27">
        <f t="shared" si="5"/>
        <v>44410</v>
      </c>
      <c r="D133" s="6">
        <f>SUMIF('Fallzahlen (Berechnung)'!D:D,"&lt;="&amp;Prognoseergebnis!C133,'Fallzahlen (Berechnung)'!E:E)-'Fallzahlen (Berechnung)'!$E$1</f>
        <v>698897.79656085023</v>
      </c>
      <c r="E133" s="114" t="e">
        <f>VLOOKUP(C133,'Fallzahlen (Berechnung)'!$D:$E,'Fallzahlen (Berechnung)'!$E$1,FALSE)</f>
        <v>#N/A</v>
      </c>
      <c r="G133" s="18">
        <v>124</v>
      </c>
      <c r="H133" s="6">
        <f>ROUND('Erkrankungs- und Strukturdaten'!$C$8*D133-IF(G133&gt;'Erkrankungs- und Strukturdaten'!$C$14,VLOOKUP(Prognoseergebnis!G133-ROUNDDOWN('Erkrankungs- und Strukturdaten'!$C$14,0),$A:$D,$D$6,FALSE)*'Erkrankungs- und Strukturdaten'!$C$8,0)
+IF(G133&gt;'Erkrankungs- und Strukturdaten'!$C$15,VLOOKUP(Prognoseergebnis!G133-ROUNDDOWN('Erkrankungs- und Strukturdaten'!$C$15,0),A:D,$D$6,FALSE)*'Erkrankungs- und Strukturdaten'!$C$9,0)
-IF(G133&gt;'Erkrankungs- und Strukturdaten'!$C$15+'Erkrankungs- und Strukturdaten'!$C$16,VLOOKUP(Prognoseergebnis!G133-ROUNDDOWN('Erkrankungs- und Strukturdaten'!$C$15-'Erkrankungs- und Strukturdaten'!$C$16,0),A:D,$D$6,FALSE)*'Erkrankungs- und Strukturdaten'!$C$9,0),0)</f>
        <v>0</v>
      </c>
      <c r="I133" s="6">
        <f>ROUND('Erkrankungs- und Strukturdaten'!$C$9*D133-IF(G133&gt;'Erkrankungs- und Strukturdaten'!$C$15,VLOOKUP(Prognoseergebnis!G133-'Erkrankungs- und Strukturdaten'!$C$15,$A:$D,$D$6,FALSE)*'Erkrankungs- und Strukturdaten'!$C$9,0),0)</f>
        <v>0</v>
      </c>
      <c r="J133" s="6">
        <f>I133*'Erkrankungs- und Strukturdaten'!$C$10/'Erkrankungs- und Strukturdaten'!$C$9</f>
        <v>0</v>
      </c>
      <c r="K133" s="6">
        <f>I133*'Erkrankungs- und Strukturdaten'!$C$21</f>
        <v>0</v>
      </c>
      <c r="L133" s="11"/>
      <c r="M133" s="82">
        <f>SUM($K$66:K133)</f>
        <v>53620</v>
      </c>
      <c r="N133" s="9"/>
      <c r="O133" s="6">
        <f>IF(AND(((H133/'Erkrankungs- und Strukturdaten'!$C$25)*'Erkrankungs- und Strukturdaten'!$E$27)+(H133/'Erkrankungs- und Strukturdaten'!$C$26)&lt;1,((H133/'Erkrankungs- und Strukturdaten'!$C$25)*'Erkrankungs- und Strukturdaten'!$E$27)+(H133/'Erkrankungs- und Strukturdaten'!$C$26)&gt;0),1,((H133/'Erkrankungs- und Strukturdaten'!$C$25)*'Erkrankungs- und Strukturdaten'!$E$27)+(H133/'Erkrankungs- und Strukturdaten'!$C$26))</f>
        <v>0</v>
      </c>
      <c r="P133" s="6">
        <f>ROUNDUP(((I133/'Erkrankungs- und Strukturdaten'!$C$28)*'Erkrankungs- und Strukturdaten'!$E$30)+(I133/'Erkrankungs- und Strukturdaten'!$C$29),0)</f>
        <v>0</v>
      </c>
      <c r="Q133" s="6">
        <f>ROUNDUP((H133/'Erkrankungs- und Strukturdaten'!$C$34*'Erkrankungs- und Strukturdaten'!$E$36)+(H133/'Erkrankungs- und Strukturdaten'!$C$35),0)</f>
        <v>0</v>
      </c>
      <c r="R133" s="6">
        <f>ROUNDUP((I133*'Erkrankungs- und Strukturdaten'!$C$40/'Erkrankungs- und Strukturdaten'!$C$38*'Erkrankungs- und Strukturdaten'!$E$39)+(I133*(1-'Erkrankungs- und Strukturdaten'!$C$40)/'Erkrankungs- und Strukturdaten'!$C$37*'Erkrankungs- und Strukturdaten'!$E$39),0)</f>
        <v>0</v>
      </c>
      <c r="S133" s="52"/>
      <c r="U133" s="44">
        <f>((H133/'Erkrankungs- und Strukturdaten'!$C$25)*'Erkrankungs- und Strukturdaten'!$E$27*'Erkrankungs- und Strukturdaten'!$F$27)+(H133/'Erkrankungs- und Strukturdaten'!$C$26*'Erkrankungs- und Strukturdaten'!$G$27)</f>
        <v>0</v>
      </c>
      <c r="V133" s="44">
        <f>(I133/'Erkrankungs- und Strukturdaten'!$C$28*'Erkrankungs- und Strukturdaten'!$E$30*'Erkrankungs- und Strukturdaten'!$F$30)+(I133/'Erkrankungs- und Strukturdaten'!$C$29*'Erkrankungs- und Strukturdaten'!$G$30)</f>
        <v>0</v>
      </c>
      <c r="AB133" s="2">
        <f>C133</f>
        <v>44410</v>
      </c>
    </row>
    <row r="134" spans="1:28" ht="15" x14ac:dyDescent="0.2">
      <c r="A134" s="42">
        <v>125</v>
      </c>
      <c r="B134" s="373"/>
      <c r="C134" s="28">
        <f t="shared" si="5"/>
        <v>44411</v>
      </c>
      <c r="D134" s="5">
        <f>SUMIF('Fallzahlen (Berechnung)'!D:D,"&lt;="&amp;Prognoseergebnis!C134,'Fallzahlen (Berechnung)'!E:E)-'Fallzahlen (Berechnung)'!$E$1</f>
        <v>698897.79656085023</v>
      </c>
      <c r="E134" s="115" t="e">
        <f>VLOOKUP(C134,'Fallzahlen (Berechnung)'!$D:$E,'Fallzahlen (Berechnung)'!$E$1,FALSE)</f>
        <v>#N/A</v>
      </c>
      <c r="G134" s="18">
        <v>125</v>
      </c>
      <c r="H134" s="5">
        <f>ROUND('Erkrankungs- und Strukturdaten'!$C$8*D134-IF(G134&gt;'Erkrankungs- und Strukturdaten'!$C$14,VLOOKUP(Prognoseergebnis!G134-ROUNDDOWN('Erkrankungs- und Strukturdaten'!$C$14,0),$A:$D,$D$6,FALSE)*'Erkrankungs- und Strukturdaten'!$C$8,0)
+IF(G134&gt;'Erkrankungs- und Strukturdaten'!$C$15,VLOOKUP(Prognoseergebnis!G134-ROUNDDOWN('Erkrankungs- und Strukturdaten'!$C$15,0),A:D,$D$6,FALSE)*'Erkrankungs- und Strukturdaten'!$C$9,0)
-IF(G134&gt;'Erkrankungs- und Strukturdaten'!$C$15+'Erkrankungs- und Strukturdaten'!$C$16,VLOOKUP(Prognoseergebnis!G134-ROUNDDOWN('Erkrankungs- und Strukturdaten'!$C$15-'Erkrankungs- und Strukturdaten'!$C$16,0),A:D,$D$6,FALSE)*'Erkrankungs- und Strukturdaten'!$C$9,0),0)</f>
        <v>0</v>
      </c>
      <c r="I134" s="5">
        <f>ROUND('Erkrankungs- und Strukturdaten'!$C$9*D134-IF(G134&gt;'Erkrankungs- und Strukturdaten'!$C$15,VLOOKUP(Prognoseergebnis!G134-'Erkrankungs- und Strukturdaten'!$C$15,$A:$D,$D$6,FALSE)*'Erkrankungs- und Strukturdaten'!$C$9,0),0)</f>
        <v>0</v>
      </c>
      <c r="J134" s="5">
        <f>I134*'Erkrankungs- und Strukturdaten'!$C$10/'Erkrankungs- und Strukturdaten'!$C$9</f>
        <v>0</v>
      </c>
      <c r="K134" s="5">
        <f>I134*'Erkrankungs- und Strukturdaten'!$C$21</f>
        <v>0</v>
      </c>
      <c r="L134" s="11"/>
      <c r="M134" s="82">
        <f>SUM($K$66:K134)</f>
        <v>53620</v>
      </c>
      <c r="N134" s="9"/>
      <c r="O134" s="5">
        <f>IF(AND(((H134/'Erkrankungs- und Strukturdaten'!$C$25)*'Erkrankungs- und Strukturdaten'!$E$27)+(H134/'Erkrankungs- und Strukturdaten'!$C$26)&lt;1,((H134/'Erkrankungs- und Strukturdaten'!$C$25)*'Erkrankungs- und Strukturdaten'!$E$27)+(H134/'Erkrankungs- und Strukturdaten'!$C$26)&gt;0),1,((H134/'Erkrankungs- und Strukturdaten'!$C$25)*'Erkrankungs- und Strukturdaten'!$E$27)+(H134/'Erkrankungs- und Strukturdaten'!$C$26))</f>
        <v>0</v>
      </c>
      <c r="P134" s="5">
        <f>ROUNDUP(((I134/'Erkrankungs- und Strukturdaten'!$C$28)*'Erkrankungs- und Strukturdaten'!$E$30)+(I134/'Erkrankungs- und Strukturdaten'!$C$29),0)</f>
        <v>0</v>
      </c>
      <c r="Q134" s="5">
        <f>ROUNDUP((H134/'Erkrankungs- und Strukturdaten'!$C$34*'Erkrankungs- und Strukturdaten'!$E$36)+(H134/'Erkrankungs- und Strukturdaten'!$C$35),0)</f>
        <v>0</v>
      </c>
      <c r="R134" s="5">
        <f>ROUNDUP((I134*'Erkrankungs- und Strukturdaten'!$C$40/'Erkrankungs- und Strukturdaten'!$C$38*'Erkrankungs- und Strukturdaten'!$E$39)+(I134*(1-'Erkrankungs- und Strukturdaten'!$C$40)/'Erkrankungs- und Strukturdaten'!$C$37*'Erkrankungs- und Strukturdaten'!$E$39),0)</f>
        <v>0</v>
      </c>
      <c r="S134" s="52"/>
      <c r="U134" s="44">
        <f>((H134/'Erkrankungs- und Strukturdaten'!$C$25)*'Erkrankungs- und Strukturdaten'!$E$27*'Erkrankungs- und Strukturdaten'!$F$27)+(H134/'Erkrankungs- und Strukturdaten'!$C$26*'Erkrankungs- und Strukturdaten'!$G$27)</f>
        <v>0</v>
      </c>
      <c r="V134" s="44">
        <f>(I134/'Erkrankungs- und Strukturdaten'!$C$28*'Erkrankungs- und Strukturdaten'!$E$30*'Erkrankungs- und Strukturdaten'!$F$30)+(I134/'Erkrankungs- und Strukturdaten'!$C$29*'Erkrankungs- und Strukturdaten'!$G$30)</f>
        <v>0</v>
      </c>
      <c r="AB134" s="2">
        <f>C134</f>
        <v>44411</v>
      </c>
    </row>
    <row r="135" spans="1:28" ht="15" x14ac:dyDescent="0.2">
      <c r="A135" s="42">
        <v>126</v>
      </c>
      <c r="B135" s="373"/>
      <c r="C135" s="73">
        <f t="shared" si="5"/>
        <v>44412</v>
      </c>
      <c r="D135" s="74">
        <f>SUMIF('Fallzahlen (Berechnung)'!D:D,"&lt;="&amp;Prognoseergebnis!C135,'Fallzahlen (Berechnung)'!E:E)-'Fallzahlen (Berechnung)'!$E$1</f>
        <v>698897.79656085023</v>
      </c>
      <c r="E135" s="119" t="e">
        <f>VLOOKUP(C135,'Fallzahlen (Berechnung)'!$D:$E,'Fallzahlen (Berechnung)'!$E$1,FALSE)</f>
        <v>#N/A</v>
      </c>
      <c r="G135" s="18">
        <v>126</v>
      </c>
      <c r="H135" s="74">
        <f>ROUND('Erkrankungs- und Strukturdaten'!$C$8*D135-IF(G135&gt;'Erkrankungs- und Strukturdaten'!$C$14,VLOOKUP(Prognoseergebnis!G135-ROUNDDOWN('Erkrankungs- und Strukturdaten'!$C$14,0),$A:$D,$D$6,FALSE)*'Erkrankungs- und Strukturdaten'!$C$8,0)
+IF(G135&gt;'Erkrankungs- und Strukturdaten'!$C$15,VLOOKUP(Prognoseergebnis!G135-ROUNDDOWN('Erkrankungs- und Strukturdaten'!$C$15,0),A:D,$D$6,FALSE)*'Erkrankungs- und Strukturdaten'!$C$9,0)
-IF(G135&gt;'Erkrankungs- und Strukturdaten'!$C$15+'Erkrankungs- und Strukturdaten'!$C$16,VLOOKUP(Prognoseergebnis!G135-ROUNDDOWN('Erkrankungs- und Strukturdaten'!$C$15-'Erkrankungs- und Strukturdaten'!$C$16,0),A:D,$D$6,FALSE)*'Erkrankungs- und Strukturdaten'!$C$9,0),0)</f>
        <v>0</v>
      </c>
      <c r="I135" s="74">
        <f>ROUND('Erkrankungs- und Strukturdaten'!$C$9*D135-IF(G135&gt;'Erkrankungs- und Strukturdaten'!$C$15,VLOOKUP(Prognoseergebnis!G135-'Erkrankungs- und Strukturdaten'!$C$15,$A:$D,$D$6,FALSE)*'Erkrankungs- und Strukturdaten'!$C$9,0),0)</f>
        <v>0</v>
      </c>
      <c r="J135" s="74">
        <f>I135*'Erkrankungs- und Strukturdaten'!$C$10/'Erkrankungs- und Strukturdaten'!$C$9</f>
        <v>0</v>
      </c>
      <c r="K135" s="74">
        <f>I135*'Erkrankungs- und Strukturdaten'!$C$21</f>
        <v>0</v>
      </c>
      <c r="L135" s="11"/>
      <c r="M135" s="82">
        <f>SUM($K$66:K135)</f>
        <v>53620</v>
      </c>
      <c r="N135" s="9"/>
      <c r="O135" s="74">
        <f>IF(AND(((H135/'Erkrankungs- und Strukturdaten'!$C$25)*'Erkrankungs- und Strukturdaten'!$E$27)+(H135/'Erkrankungs- und Strukturdaten'!$C$26)&lt;1,((H135/'Erkrankungs- und Strukturdaten'!$C$25)*'Erkrankungs- und Strukturdaten'!$E$27)+(H135/'Erkrankungs- und Strukturdaten'!$C$26)&gt;0),1,((H135/'Erkrankungs- und Strukturdaten'!$C$25)*'Erkrankungs- und Strukturdaten'!$E$27)+(H135/'Erkrankungs- und Strukturdaten'!$C$26))</f>
        <v>0</v>
      </c>
      <c r="P135" s="74">
        <f>ROUNDUP(((I135/'Erkrankungs- und Strukturdaten'!$C$28)*'Erkrankungs- und Strukturdaten'!$E$30)+(I135/'Erkrankungs- und Strukturdaten'!$C$29),0)</f>
        <v>0</v>
      </c>
      <c r="Q135" s="74">
        <f>ROUNDUP((H135/'Erkrankungs- und Strukturdaten'!$C$34*'Erkrankungs- und Strukturdaten'!$E$36)+(H135/'Erkrankungs- und Strukturdaten'!$C$35),0)</f>
        <v>0</v>
      </c>
      <c r="R135" s="74">
        <f>ROUNDUP((I135*'Erkrankungs- und Strukturdaten'!$C$40/'Erkrankungs- und Strukturdaten'!$C$38*'Erkrankungs- und Strukturdaten'!$E$39)+(I135*(1-'Erkrankungs- und Strukturdaten'!$C$40)/'Erkrankungs- und Strukturdaten'!$C$37*'Erkrankungs- und Strukturdaten'!$E$39),0)</f>
        <v>0</v>
      </c>
      <c r="S135" s="52"/>
      <c r="U135" s="44">
        <f>((H135/'Erkrankungs- und Strukturdaten'!$C$25)*'Erkrankungs- und Strukturdaten'!$E$27*'Erkrankungs- und Strukturdaten'!$F$27)+(H135/'Erkrankungs- und Strukturdaten'!$C$26*'Erkrankungs- und Strukturdaten'!$G$27)</f>
        <v>0</v>
      </c>
      <c r="V135" s="44">
        <f>(I135/'Erkrankungs- und Strukturdaten'!$C$28*'Erkrankungs- und Strukturdaten'!$E$30*'Erkrankungs- und Strukturdaten'!$F$30)+(I135/'Erkrankungs- und Strukturdaten'!$C$29*'Erkrankungs- und Strukturdaten'!$G$30)</f>
        <v>0</v>
      </c>
      <c r="AB135" s="2">
        <f>C135</f>
        <v>44412</v>
      </c>
    </row>
    <row r="136" spans="1:28" ht="15" x14ac:dyDescent="0.2">
      <c r="A136" s="42">
        <v>127</v>
      </c>
      <c r="B136" s="375" t="s">
        <v>202</v>
      </c>
      <c r="C136" s="78">
        <f t="shared" si="5"/>
        <v>44413</v>
      </c>
      <c r="D136" s="4">
        <f>SUMIF('Fallzahlen (Berechnung)'!D:D,"&lt;="&amp;Prognoseergebnis!C136,'Fallzahlen (Berechnung)'!E:E)-'Fallzahlen (Berechnung)'!$E$1</f>
        <v>698897.79656085023</v>
      </c>
      <c r="E136" s="116" t="e">
        <f>VLOOKUP(C136,'Fallzahlen (Berechnung)'!$D:$E,'Fallzahlen (Berechnung)'!$E$1,FALSE)</f>
        <v>#N/A</v>
      </c>
      <c r="G136" s="18">
        <v>127</v>
      </c>
      <c r="H136" s="4">
        <f>ROUND('Erkrankungs- und Strukturdaten'!$C$8*D136-IF(G136&gt;'Erkrankungs- und Strukturdaten'!$C$14,VLOOKUP(Prognoseergebnis!G136-ROUNDDOWN('Erkrankungs- und Strukturdaten'!$C$14,0),$A:$D,$D$6,FALSE)*'Erkrankungs- und Strukturdaten'!$C$8,0)
+IF(G136&gt;'Erkrankungs- und Strukturdaten'!$C$15,VLOOKUP(Prognoseergebnis!G136-ROUNDDOWN('Erkrankungs- und Strukturdaten'!$C$15,0),A:D,$D$6,FALSE)*'Erkrankungs- und Strukturdaten'!$C$9,0)
-IF(G136&gt;'Erkrankungs- und Strukturdaten'!$C$15+'Erkrankungs- und Strukturdaten'!$C$16,VLOOKUP(Prognoseergebnis!G136-ROUNDDOWN('Erkrankungs- und Strukturdaten'!$C$15-'Erkrankungs- und Strukturdaten'!$C$16,0),A:D,$D$6,FALSE)*'Erkrankungs- und Strukturdaten'!$C$9,0),0)</f>
        <v>0</v>
      </c>
      <c r="I136" s="4">
        <f>ROUND('Erkrankungs- und Strukturdaten'!$C$9*D136-IF(G136&gt;'Erkrankungs- und Strukturdaten'!$C$15,VLOOKUP(Prognoseergebnis!G136-'Erkrankungs- und Strukturdaten'!$C$15,$A:$D,$D$6,FALSE)*'Erkrankungs- und Strukturdaten'!$C$9,0),0)</f>
        <v>0</v>
      </c>
      <c r="J136" s="4">
        <f>I136*'Erkrankungs- und Strukturdaten'!$C$10/'Erkrankungs- und Strukturdaten'!$C$9</f>
        <v>0</v>
      </c>
      <c r="K136" s="4">
        <f>I136*'Erkrankungs- und Strukturdaten'!$C$21</f>
        <v>0</v>
      </c>
      <c r="L136" s="11"/>
      <c r="M136" s="82">
        <f>SUM($K$66:K136)</f>
        <v>53620</v>
      </c>
      <c r="N136" s="9"/>
      <c r="O136" s="4">
        <f>IF(AND(((H136/'Erkrankungs- und Strukturdaten'!$C$25)*'Erkrankungs- und Strukturdaten'!$E$27)+(H136/'Erkrankungs- und Strukturdaten'!$C$26)&lt;1,((H136/'Erkrankungs- und Strukturdaten'!$C$25)*'Erkrankungs- und Strukturdaten'!$E$27)+(H136/'Erkrankungs- und Strukturdaten'!$C$26)&gt;0),1,((H136/'Erkrankungs- und Strukturdaten'!$C$25)*'Erkrankungs- und Strukturdaten'!$E$27)+(H136/'Erkrankungs- und Strukturdaten'!$C$26))</f>
        <v>0</v>
      </c>
      <c r="P136" s="4">
        <f>ROUNDUP(((I136/'Erkrankungs- und Strukturdaten'!$C$28)*'Erkrankungs- und Strukturdaten'!$E$30)+(I136/'Erkrankungs- und Strukturdaten'!$C$29),0)</f>
        <v>0</v>
      </c>
      <c r="Q136" s="4">
        <f>ROUNDUP((H136/'Erkrankungs- und Strukturdaten'!$C$34*'Erkrankungs- und Strukturdaten'!$E$36)+(H136/'Erkrankungs- und Strukturdaten'!$C$35),0)</f>
        <v>0</v>
      </c>
      <c r="R136" s="4">
        <f>ROUNDUP((I136*'Erkrankungs- und Strukturdaten'!$C$40/'Erkrankungs- und Strukturdaten'!$C$38*'Erkrankungs- und Strukturdaten'!$E$39)+(I136*(1-'Erkrankungs- und Strukturdaten'!$C$40)/'Erkrankungs- und Strukturdaten'!$C$37*'Erkrankungs- und Strukturdaten'!$E$39),0)</f>
        <v>0</v>
      </c>
      <c r="S136" s="52"/>
      <c r="U136" s="44">
        <f>((H136/'Erkrankungs- und Strukturdaten'!$C$25)*'Erkrankungs- und Strukturdaten'!$E$27*'Erkrankungs- und Strukturdaten'!$F$27)+(H136/'Erkrankungs- und Strukturdaten'!$C$26*'Erkrankungs- und Strukturdaten'!$G$27)</f>
        <v>0</v>
      </c>
      <c r="V136" s="44">
        <f>(I136/'Erkrankungs- und Strukturdaten'!$C$28*'Erkrankungs- und Strukturdaten'!$E$30*'Erkrankungs- und Strukturdaten'!$F$30)+(I136/'Erkrankungs- und Strukturdaten'!$C$29*'Erkrankungs- und Strukturdaten'!$G$30)</f>
        <v>0</v>
      </c>
      <c r="AB136" s="2">
        <f t="shared" ref="AB136:AB163" si="6">C136</f>
        <v>44413</v>
      </c>
    </row>
    <row r="137" spans="1:28" ht="15" x14ac:dyDescent="0.2">
      <c r="A137" s="42">
        <v>128</v>
      </c>
      <c r="B137" s="375"/>
      <c r="C137" s="27">
        <f t="shared" si="5"/>
        <v>44414</v>
      </c>
      <c r="D137" s="6">
        <f>SUMIF('Fallzahlen (Berechnung)'!D:D,"&lt;="&amp;Prognoseergebnis!C137,'Fallzahlen (Berechnung)'!E:E)-'Fallzahlen (Berechnung)'!$E$1</f>
        <v>698897.79656085023</v>
      </c>
      <c r="E137" s="114" t="e">
        <f>VLOOKUP(C137,'Fallzahlen (Berechnung)'!$D:$E,'Fallzahlen (Berechnung)'!$E$1,FALSE)</f>
        <v>#N/A</v>
      </c>
      <c r="G137" s="18">
        <v>128</v>
      </c>
      <c r="H137" s="6">
        <f>ROUND('Erkrankungs- und Strukturdaten'!$C$8*D137-IF(G137&gt;'Erkrankungs- und Strukturdaten'!$C$14,VLOOKUP(Prognoseergebnis!G137-ROUNDDOWN('Erkrankungs- und Strukturdaten'!$C$14,0),$A:$D,$D$6,FALSE)*'Erkrankungs- und Strukturdaten'!$C$8,0)
+IF(G137&gt;'Erkrankungs- und Strukturdaten'!$C$15,VLOOKUP(Prognoseergebnis!G137-ROUNDDOWN('Erkrankungs- und Strukturdaten'!$C$15,0),A:D,$D$6,FALSE)*'Erkrankungs- und Strukturdaten'!$C$9,0)
-IF(G137&gt;'Erkrankungs- und Strukturdaten'!$C$15+'Erkrankungs- und Strukturdaten'!$C$16,VLOOKUP(Prognoseergebnis!G137-ROUNDDOWN('Erkrankungs- und Strukturdaten'!$C$15-'Erkrankungs- und Strukturdaten'!$C$16,0),A:D,$D$6,FALSE)*'Erkrankungs- und Strukturdaten'!$C$9,0),0)</f>
        <v>0</v>
      </c>
      <c r="I137" s="6">
        <f>ROUND('Erkrankungs- und Strukturdaten'!$C$9*D137-IF(G137&gt;'Erkrankungs- und Strukturdaten'!$C$15,VLOOKUP(Prognoseergebnis!G137-'Erkrankungs- und Strukturdaten'!$C$15,$A:$D,$D$6,FALSE)*'Erkrankungs- und Strukturdaten'!$C$9,0),0)</f>
        <v>0</v>
      </c>
      <c r="J137" s="6">
        <f>I137*'Erkrankungs- und Strukturdaten'!$C$10/'Erkrankungs- und Strukturdaten'!$C$9</f>
        <v>0</v>
      </c>
      <c r="K137" s="6">
        <f>I137*'Erkrankungs- und Strukturdaten'!$C$21</f>
        <v>0</v>
      </c>
      <c r="L137" s="11"/>
      <c r="M137" s="82">
        <f>SUM($K$66:K137)</f>
        <v>53620</v>
      </c>
      <c r="N137" s="9"/>
      <c r="O137" s="6">
        <f>IF(AND(((H137/'Erkrankungs- und Strukturdaten'!$C$25)*'Erkrankungs- und Strukturdaten'!$E$27)+(H137/'Erkrankungs- und Strukturdaten'!$C$26)&lt;1,((H137/'Erkrankungs- und Strukturdaten'!$C$25)*'Erkrankungs- und Strukturdaten'!$E$27)+(H137/'Erkrankungs- und Strukturdaten'!$C$26)&gt;0),1,((H137/'Erkrankungs- und Strukturdaten'!$C$25)*'Erkrankungs- und Strukturdaten'!$E$27)+(H137/'Erkrankungs- und Strukturdaten'!$C$26))</f>
        <v>0</v>
      </c>
      <c r="P137" s="6">
        <f>ROUNDUP(((I137/'Erkrankungs- und Strukturdaten'!$C$28)*'Erkrankungs- und Strukturdaten'!$E$30)+(I137/'Erkrankungs- und Strukturdaten'!$C$29),0)</f>
        <v>0</v>
      </c>
      <c r="Q137" s="6">
        <f>ROUNDUP((H137/'Erkrankungs- und Strukturdaten'!$C$34*'Erkrankungs- und Strukturdaten'!$E$36)+(H137/'Erkrankungs- und Strukturdaten'!$C$35),0)</f>
        <v>0</v>
      </c>
      <c r="R137" s="6">
        <f>ROUNDUP((I137*'Erkrankungs- und Strukturdaten'!$C$40/'Erkrankungs- und Strukturdaten'!$C$38*'Erkrankungs- und Strukturdaten'!$E$39)+(I137*(1-'Erkrankungs- und Strukturdaten'!$C$40)/'Erkrankungs- und Strukturdaten'!$C$37*'Erkrankungs- und Strukturdaten'!$E$39),0)</f>
        <v>0</v>
      </c>
      <c r="S137" s="52"/>
      <c r="U137" s="44">
        <f>((H137/'Erkrankungs- und Strukturdaten'!$C$25)*'Erkrankungs- und Strukturdaten'!$E$27*'Erkrankungs- und Strukturdaten'!$F$27)+(H137/'Erkrankungs- und Strukturdaten'!$C$26*'Erkrankungs- und Strukturdaten'!$G$27)</f>
        <v>0</v>
      </c>
      <c r="V137" s="44">
        <f>(I137/'Erkrankungs- und Strukturdaten'!$C$28*'Erkrankungs- und Strukturdaten'!$E$30*'Erkrankungs- und Strukturdaten'!$F$30)+(I137/'Erkrankungs- und Strukturdaten'!$C$29*'Erkrankungs- und Strukturdaten'!$G$30)</f>
        <v>0</v>
      </c>
      <c r="AB137" s="2">
        <f t="shared" si="6"/>
        <v>44414</v>
      </c>
    </row>
    <row r="138" spans="1:28" ht="15" x14ac:dyDescent="0.2">
      <c r="A138" s="42">
        <v>129</v>
      </c>
      <c r="B138" s="375"/>
      <c r="C138" s="28">
        <f t="shared" si="5"/>
        <v>44415</v>
      </c>
      <c r="D138" s="5">
        <f>SUMIF('Fallzahlen (Berechnung)'!D:D,"&lt;="&amp;Prognoseergebnis!C138,'Fallzahlen (Berechnung)'!E:E)-'Fallzahlen (Berechnung)'!$E$1</f>
        <v>698897.79656085023</v>
      </c>
      <c r="E138" s="115" t="e">
        <f>VLOOKUP(C138,'Fallzahlen (Berechnung)'!$D:$E,'Fallzahlen (Berechnung)'!$E$1,FALSE)</f>
        <v>#N/A</v>
      </c>
      <c r="G138" s="18">
        <v>129</v>
      </c>
      <c r="H138" s="5">
        <f>ROUND('Erkrankungs- und Strukturdaten'!$C$8*D138-IF(G138&gt;'Erkrankungs- und Strukturdaten'!$C$14,VLOOKUP(Prognoseergebnis!G138-ROUNDDOWN('Erkrankungs- und Strukturdaten'!$C$14,0),$A:$D,$D$6,FALSE)*'Erkrankungs- und Strukturdaten'!$C$8,0)
+IF(G138&gt;'Erkrankungs- und Strukturdaten'!$C$15,VLOOKUP(Prognoseergebnis!G138-ROUNDDOWN('Erkrankungs- und Strukturdaten'!$C$15,0),A:D,$D$6,FALSE)*'Erkrankungs- und Strukturdaten'!$C$9,0)
-IF(G138&gt;'Erkrankungs- und Strukturdaten'!$C$15+'Erkrankungs- und Strukturdaten'!$C$16,VLOOKUP(Prognoseergebnis!G138-ROUNDDOWN('Erkrankungs- und Strukturdaten'!$C$15-'Erkrankungs- und Strukturdaten'!$C$16,0),A:D,$D$6,FALSE)*'Erkrankungs- und Strukturdaten'!$C$9,0),0)</f>
        <v>0</v>
      </c>
      <c r="I138" s="5">
        <f>ROUND('Erkrankungs- und Strukturdaten'!$C$9*D138-IF(G138&gt;'Erkrankungs- und Strukturdaten'!$C$15,VLOOKUP(Prognoseergebnis!G138-'Erkrankungs- und Strukturdaten'!$C$15,$A:$D,$D$6,FALSE)*'Erkrankungs- und Strukturdaten'!$C$9,0),0)</f>
        <v>0</v>
      </c>
      <c r="J138" s="5">
        <f>I138*'Erkrankungs- und Strukturdaten'!$C$10/'Erkrankungs- und Strukturdaten'!$C$9</f>
        <v>0</v>
      </c>
      <c r="K138" s="5">
        <f>I138*'Erkrankungs- und Strukturdaten'!$C$21</f>
        <v>0</v>
      </c>
      <c r="L138" s="11"/>
      <c r="M138" s="82">
        <f>SUM($K$66:K138)</f>
        <v>53620</v>
      </c>
      <c r="N138" s="9"/>
      <c r="O138" s="5">
        <f>IF(AND(((H138/'Erkrankungs- und Strukturdaten'!$C$25)*'Erkrankungs- und Strukturdaten'!$E$27)+(H138/'Erkrankungs- und Strukturdaten'!$C$26)&lt;1,((H138/'Erkrankungs- und Strukturdaten'!$C$25)*'Erkrankungs- und Strukturdaten'!$E$27)+(H138/'Erkrankungs- und Strukturdaten'!$C$26)&gt;0),1,((H138/'Erkrankungs- und Strukturdaten'!$C$25)*'Erkrankungs- und Strukturdaten'!$E$27)+(H138/'Erkrankungs- und Strukturdaten'!$C$26))</f>
        <v>0</v>
      </c>
      <c r="P138" s="5">
        <f>ROUNDUP(((I138/'Erkrankungs- und Strukturdaten'!$C$28)*'Erkrankungs- und Strukturdaten'!$E$30)+(I138/'Erkrankungs- und Strukturdaten'!$C$29),0)</f>
        <v>0</v>
      </c>
      <c r="Q138" s="5">
        <f>ROUNDUP((H138/'Erkrankungs- und Strukturdaten'!$C$34*'Erkrankungs- und Strukturdaten'!$E$36)+(H138/'Erkrankungs- und Strukturdaten'!$C$35),0)</f>
        <v>0</v>
      </c>
      <c r="R138" s="5">
        <f>ROUNDUP((I138*'Erkrankungs- und Strukturdaten'!$C$40/'Erkrankungs- und Strukturdaten'!$C$38*'Erkrankungs- und Strukturdaten'!$E$39)+(I138*(1-'Erkrankungs- und Strukturdaten'!$C$40)/'Erkrankungs- und Strukturdaten'!$C$37*'Erkrankungs- und Strukturdaten'!$E$39),0)</f>
        <v>0</v>
      </c>
      <c r="S138" s="52"/>
      <c r="U138" s="44">
        <f>((H138/'Erkrankungs- und Strukturdaten'!$C$25)*'Erkrankungs- und Strukturdaten'!$E$27*'Erkrankungs- und Strukturdaten'!$F$27)+(H138/'Erkrankungs- und Strukturdaten'!$C$26*'Erkrankungs- und Strukturdaten'!$G$27)</f>
        <v>0</v>
      </c>
      <c r="V138" s="44">
        <f>(I138/'Erkrankungs- und Strukturdaten'!$C$28*'Erkrankungs- und Strukturdaten'!$E$30*'Erkrankungs- und Strukturdaten'!$F$30)+(I138/'Erkrankungs- und Strukturdaten'!$C$29*'Erkrankungs- und Strukturdaten'!$G$30)</f>
        <v>0</v>
      </c>
      <c r="AB138" s="2">
        <f t="shared" si="6"/>
        <v>44415</v>
      </c>
    </row>
    <row r="139" spans="1:28" ht="15" x14ac:dyDescent="0.2">
      <c r="A139" s="42">
        <v>130</v>
      </c>
      <c r="B139" s="375"/>
      <c r="C139" s="27">
        <f t="shared" si="5"/>
        <v>44416</v>
      </c>
      <c r="D139" s="6">
        <f>SUMIF('Fallzahlen (Berechnung)'!D:D,"&lt;="&amp;Prognoseergebnis!C139,'Fallzahlen (Berechnung)'!E:E)-'Fallzahlen (Berechnung)'!$E$1</f>
        <v>698897.79656085023</v>
      </c>
      <c r="E139" s="114" t="e">
        <f>VLOOKUP(C139,'Fallzahlen (Berechnung)'!$D:$E,'Fallzahlen (Berechnung)'!$E$1,FALSE)</f>
        <v>#N/A</v>
      </c>
      <c r="G139" s="18">
        <v>130</v>
      </c>
      <c r="H139" s="6">
        <f>ROUND('Erkrankungs- und Strukturdaten'!$C$8*D139-IF(G139&gt;'Erkrankungs- und Strukturdaten'!$C$14,VLOOKUP(Prognoseergebnis!G139-ROUNDDOWN('Erkrankungs- und Strukturdaten'!$C$14,0),$A:$D,$D$6,FALSE)*'Erkrankungs- und Strukturdaten'!$C$8,0)
+IF(G139&gt;'Erkrankungs- und Strukturdaten'!$C$15,VLOOKUP(Prognoseergebnis!G139-ROUNDDOWN('Erkrankungs- und Strukturdaten'!$C$15,0),A:D,$D$6,FALSE)*'Erkrankungs- und Strukturdaten'!$C$9,0)
-IF(G139&gt;'Erkrankungs- und Strukturdaten'!$C$15+'Erkrankungs- und Strukturdaten'!$C$16,VLOOKUP(Prognoseergebnis!G139-ROUNDDOWN('Erkrankungs- und Strukturdaten'!$C$15-'Erkrankungs- und Strukturdaten'!$C$16,0),A:D,$D$6,FALSE)*'Erkrankungs- und Strukturdaten'!$C$9,0),0)</f>
        <v>0</v>
      </c>
      <c r="I139" s="6">
        <f>ROUND('Erkrankungs- und Strukturdaten'!$C$9*D139-IF(G139&gt;'Erkrankungs- und Strukturdaten'!$C$15,VLOOKUP(Prognoseergebnis!G139-'Erkrankungs- und Strukturdaten'!$C$15,$A:$D,$D$6,FALSE)*'Erkrankungs- und Strukturdaten'!$C$9,0),0)</f>
        <v>0</v>
      </c>
      <c r="J139" s="6">
        <f>I139*'Erkrankungs- und Strukturdaten'!$C$10/'Erkrankungs- und Strukturdaten'!$C$9</f>
        <v>0</v>
      </c>
      <c r="K139" s="6">
        <f>I139*'Erkrankungs- und Strukturdaten'!$C$21</f>
        <v>0</v>
      </c>
      <c r="L139" s="11"/>
      <c r="M139" s="82">
        <f>SUM($K$66:K139)</f>
        <v>53620</v>
      </c>
      <c r="N139" s="9"/>
      <c r="O139" s="6">
        <f>IF(AND(((H139/'Erkrankungs- und Strukturdaten'!$C$25)*'Erkrankungs- und Strukturdaten'!$E$27)+(H139/'Erkrankungs- und Strukturdaten'!$C$26)&lt;1,((H139/'Erkrankungs- und Strukturdaten'!$C$25)*'Erkrankungs- und Strukturdaten'!$E$27)+(H139/'Erkrankungs- und Strukturdaten'!$C$26)&gt;0),1,((H139/'Erkrankungs- und Strukturdaten'!$C$25)*'Erkrankungs- und Strukturdaten'!$E$27)+(H139/'Erkrankungs- und Strukturdaten'!$C$26))</f>
        <v>0</v>
      </c>
      <c r="P139" s="6">
        <f>ROUNDUP(((I139/'Erkrankungs- und Strukturdaten'!$C$28)*'Erkrankungs- und Strukturdaten'!$E$30)+(I139/'Erkrankungs- und Strukturdaten'!$C$29),0)</f>
        <v>0</v>
      </c>
      <c r="Q139" s="6">
        <f>ROUNDUP((H139/'Erkrankungs- und Strukturdaten'!$C$34*'Erkrankungs- und Strukturdaten'!$E$36)+(H139/'Erkrankungs- und Strukturdaten'!$C$35),0)</f>
        <v>0</v>
      </c>
      <c r="R139" s="6">
        <f>ROUNDUP((I139*'Erkrankungs- und Strukturdaten'!$C$40/'Erkrankungs- und Strukturdaten'!$C$38*'Erkrankungs- und Strukturdaten'!$E$39)+(I139*(1-'Erkrankungs- und Strukturdaten'!$C$40)/'Erkrankungs- und Strukturdaten'!$C$37*'Erkrankungs- und Strukturdaten'!$E$39),0)</f>
        <v>0</v>
      </c>
      <c r="S139" s="52"/>
      <c r="U139" s="44">
        <f>((H139/'Erkrankungs- und Strukturdaten'!$C$25)*'Erkrankungs- und Strukturdaten'!$E$27*'Erkrankungs- und Strukturdaten'!$F$27)+(H139/'Erkrankungs- und Strukturdaten'!$C$26*'Erkrankungs- und Strukturdaten'!$G$27)</f>
        <v>0</v>
      </c>
      <c r="V139" s="44">
        <f>(I139/'Erkrankungs- und Strukturdaten'!$C$28*'Erkrankungs- und Strukturdaten'!$E$30*'Erkrankungs- und Strukturdaten'!$F$30)+(I139/'Erkrankungs- und Strukturdaten'!$C$29*'Erkrankungs- und Strukturdaten'!$G$30)</f>
        <v>0</v>
      </c>
      <c r="AB139" s="2">
        <f t="shared" si="6"/>
        <v>44416</v>
      </c>
    </row>
    <row r="140" spans="1:28" ht="15" x14ac:dyDescent="0.2">
      <c r="A140" s="42">
        <v>131</v>
      </c>
      <c r="B140" s="375"/>
      <c r="C140" s="28">
        <f t="shared" si="5"/>
        <v>44417</v>
      </c>
      <c r="D140" s="5">
        <f>SUMIF('Fallzahlen (Berechnung)'!D:D,"&lt;="&amp;Prognoseergebnis!C140,'Fallzahlen (Berechnung)'!E:E)-'Fallzahlen (Berechnung)'!$E$1</f>
        <v>698897.79656085023</v>
      </c>
      <c r="E140" s="115" t="e">
        <f>VLOOKUP(C140,'Fallzahlen (Berechnung)'!$D:$E,'Fallzahlen (Berechnung)'!$E$1,FALSE)</f>
        <v>#N/A</v>
      </c>
      <c r="G140" s="18">
        <v>131</v>
      </c>
      <c r="H140" s="5">
        <f>ROUND('Erkrankungs- und Strukturdaten'!$C$8*D140-IF(G140&gt;'Erkrankungs- und Strukturdaten'!$C$14,VLOOKUP(Prognoseergebnis!G140-ROUNDDOWN('Erkrankungs- und Strukturdaten'!$C$14,0),$A:$D,$D$6,FALSE)*'Erkrankungs- und Strukturdaten'!$C$8,0)
+IF(G140&gt;'Erkrankungs- und Strukturdaten'!$C$15,VLOOKUP(Prognoseergebnis!G140-ROUNDDOWN('Erkrankungs- und Strukturdaten'!$C$15,0),A:D,$D$6,FALSE)*'Erkrankungs- und Strukturdaten'!$C$9,0)
-IF(G140&gt;'Erkrankungs- und Strukturdaten'!$C$15+'Erkrankungs- und Strukturdaten'!$C$16,VLOOKUP(Prognoseergebnis!G140-ROUNDDOWN('Erkrankungs- und Strukturdaten'!$C$15-'Erkrankungs- und Strukturdaten'!$C$16,0),A:D,$D$6,FALSE)*'Erkrankungs- und Strukturdaten'!$C$9,0),0)</f>
        <v>0</v>
      </c>
      <c r="I140" s="5">
        <f>ROUND('Erkrankungs- und Strukturdaten'!$C$9*D140-IF(G140&gt;'Erkrankungs- und Strukturdaten'!$C$15,VLOOKUP(Prognoseergebnis!G140-'Erkrankungs- und Strukturdaten'!$C$15,$A:$D,$D$6,FALSE)*'Erkrankungs- und Strukturdaten'!$C$9,0),0)</f>
        <v>0</v>
      </c>
      <c r="J140" s="5">
        <f>I140*'Erkrankungs- und Strukturdaten'!$C$10/'Erkrankungs- und Strukturdaten'!$C$9</f>
        <v>0</v>
      </c>
      <c r="K140" s="5">
        <f>I140*'Erkrankungs- und Strukturdaten'!$C$21</f>
        <v>0</v>
      </c>
      <c r="L140" s="11"/>
      <c r="M140" s="82">
        <f>SUM($K$66:K140)</f>
        <v>53620</v>
      </c>
      <c r="N140" s="9"/>
      <c r="O140" s="5">
        <f>IF(AND(((H140/'Erkrankungs- und Strukturdaten'!$C$25)*'Erkrankungs- und Strukturdaten'!$E$27)+(H140/'Erkrankungs- und Strukturdaten'!$C$26)&lt;1,((H140/'Erkrankungs- und Strukturdaten'!$C$25)*'Erkrankungs- und Strukturdaten'!$E$27)+(H140/'Erkrankungs- und Strukturdaten'!$C$26)&gt;0),1,((H140/'Erkrankungs- und Strukturdaten'!$C$25)*'Erkrankungs- und Strukturdaten'!$E$27)+(H140/'Erkrankungs- und Strukturdaten'!$C$26))</f>
        <v>0</v>
      </c>
      <c r="P140" s="5">
        <f>ROUNDUP(((I140/'Erkrankungs- und Strukturdaten'!$C$28)*'Erkrankungs- und Strukturdaten'!$E$30)+(I140/'Erkrankungs- und Strukturdaten'!$C$29),0)</f>
        <v>0</v>
      </c>
      <c r="Q140" s="5">
        <f>ROUNDUP((H140/'Erkrankungs- und Strukturdaten'!$C$34*'Erkrankungs- und Strukturdaten'!$E$36)+(H140/'Erkrankungs- und Strukturdaten'!$C$35),0)</f>
        <v>0</v>
      </c>
      <c r="R140" s="5">
        <f>ROUNDUP((I140*'Erkrankungs- und Strukturdaten'!$C$40/'Erkrankungs- und Strukturdaten'!$C$38*'Erkrankungs- und Strukturdaten'!$E$39)+(I140*(1-'Erkrankungs- und Strukturdaten'!$C$40)/'Erkrankungs- und Strukturdaten'!$C$37*'Erkrankungs- und Strukturdaten'!$E$39),0)</f>
        <v>0</v>
      </c>
      <c r="S140" s="52"/>
      <c r="U140" s="44">
        <f>((H140/'Erkrankungs- und Strukturdaten'!$C$25)*'Erkrankungs- und Strukturdaten'!$E$27*'Erkrankungs- und Strukturdaten'!$F$27)+(H140/'Erkrankungs- und Strukturdaten'!$C$26*'Erkrankungs- und Strukturdaten'!$G$27)</f>
        <v>0</v>
      </c>
      <c r="V140" s="44">
        <f>(I140/'Erkrankungs- und Strukturdaten'!$C$28*'Erkrankungs- und Strukturdaten'!$E$30*'Erkrankungs- und Strukturdaten'!$F$30)+(I140/'Erkrankungs- und Strukturdaten'!$C$29*'Erkrankungs- und Strukturdaten'!$G$30)</f>
        <v>0</v>
      </c>
      <c r="AB140" s="2">
        <f t="shared" si="6"/>
        <v>44417</v>
      </c>
    </row>
    <row r="141" spans="1:28" ht="15" x14ac:dyDescent="0.2">
      <c r="A141" s="42">
        <v>132</v>
      </c>
      <c r="B141" s="375"/>
      <c r="C141" s="27">
        <f t="shared" si="5"/>
        <v>44418</v>
      </c>
      <c r="D141" s="6">
        <f>SUMIF('Fallzahlen (Berechnung)'!D:D,"&lt;="&amp;Prognoseergebnis!C141,'Fallzahlen (Berechnung)'!E:E)-'Fallzahlen (Berechnung)'!$E$1</f>
        <v>698897.79656085023</v>
      </c>
      <c r="E141" s="114" t="e">
        <f>VLOOKUP(C141,'Fallzahlen (Berechnung)'!$D:$E,'Fallzahlen (Berechnung)'!$E$1,FALSE)</f>
        <v>#N/A</v>
      </c>
      <c r="G141" s="18">
        <v>132</v>
      </c>
      <c r="H141" s="6">
        <f>ROUND('Erkrankungs- und Strukturdaten'!$C$8*D141-IF(G141&gt;'Erkrankungs- und Strukturdaten'!$C$14,VLOOKUP(Prognoseergebnis!G141-ROUNDDOWN('Erkrankungs- und Strukturdaten'!$C$14,0),$A:$D,$D$6,FALSE)*'Erkrankungs- und Strukturdaten'!$C$8,0)
+IF(G141&gt;'Erkrankungs- und Strukturdaten'!$C$15,VLOOKUP(Prognoseergebnis!G141-ROUNDDOWN('Erkrankungs- und Strukturdaten'!$C$15,0),A:D,$D$6,FALSE)*'Erkrankungs- und Strukturdaten'!$C$9,0)
-IF(G141&gt;'Erkrankungs- und Strukturdaten'!$C$15+'Erkrankungs- und Strukturdaten'!$C$16,VLOOKUP(Prognoseergebnis!G141-ROUNDDOWN('Erkrankungs- und Strukturdaten'!$C$15-'Erkrankungs- und Strukturdaten'!$C$16,0),A:D,$D$6,FALSE)*'Erkrankungs- und Strukturdaten'!$C$9,0),0)</f>
        <v>0</v>
      </c>
      <c r="I141" s="6">
        <f>ROUND('Erkrankungs- und Strukturdaten'!$C$9*D141-IF(G141&gt;'Erkrankungs- und Strukturdaten'!$C$15,VLOOKUP(Prognoseergebnis!G141-'Erkrankungs- und Strukturdaten'!$C$15,$A:$D,$D$6,FALSE)*'Erkrankungs- und Strukturdaten'!$C$9,0),0)</f>
        <v>0</v>
      </c>
      <c r="J141" s="6">
        <f>I141*'Erkrankungs- und Strukturdaten'!$C$10/'Erkrankungs- und Strukturdaten'!$C$9</f>
        <v>0</v>
      </c>
      <c r="K141" s="6">
        <f>I141*'Erkrankungs- und Strukturdaten'!$C$21</f>
        <v>0</v>
      </c>
      <c r="L141" s="11"/>
      <c r="M141" s="82">
        <f>SUM($K$66:K141)</f>
        <v>53620</v>
      </c>
      <c r="N141" s="9"/>
      <c r="O141" s="6">
        <f>IF(AND(((H141/'Erkrankungs- und Strukturdaten'!$C$25)*'Erkrankungs- und Strukturdaten'!$E$27)+(H141/'Erkrankungs- und Strukturdaten'!$C$26)&lt;1,((H141/'Erkrankungs- und Strukturdaten'!$C$25)*'Erkrankungs- und Strukturdaten'!$E$27)+(H141/'Erkrankungs- und Strukturdaten'!$C$26)&gt;0),1,((H141/'Erkrankungs- und Strukturdaten'!$C$25)*'Erkrankungs- und Strukturdaten'!$E$27)+(H141/'Erkrankungs- und Strukturdaten'!$C$26))</f>
        <v>0</v>
      </c>
      <c r="P141" s="6">
        <f>ROUNDUP(((I141/'Erkrankungs- und Strukturdaten'!$C$28)*'Erkrankungs- und Strukturdaten'!$E$30)+(I141/'Erkrankungs- und Strukturdaten'!$C$29),0)</f>
        <v>0</v>
      </c>
      <c r="Q141" s="6">
        <f>ROUNDUP((H141/'Erkrankungs- und Strukturdaten'!$C$34*'Erkrankungs- und Strukturdaten'!$E$36)+(H141/'Erkrankungs- und Strukturdaten'!$C$35),0)</f>
        <v>0</v>
      </c>
      <c r="R141" s="6">
        <f>ROUNDUP((I141*'Erkrankungs- und Strukturdaten'!$C$40/'Erkrankungs- und Strukturdaten'!$C$38*'Erkrankungs- und Strukturdaten'!$E$39)+(I141*(1-'Erkrankungs- und Strukturdaten'!$C$40)/'Erkrankungs- und Strukturdaten'!$C$37*'Erkrankungs- und Strukturdaten'!$E$39),0)</f>
        <v>0</v>
      </c>
      <c r="S141" s="52"/>
      <c r="U141" s="44">
        <f>((H141/'Erkrankungs- und Strukturdaten'!$C$25)*'Erkrankungs- und Strukturdaten'!$E$27*'Erkrankungs- und Strukturdaten'!$F$27)+(H141/'Erkrankungs- und Strukturdaten'!$C$26*'Erkrankungs- und Strukturdaten'!$G$27)</f>
        <v>0</v>
      </c>
      <c r="V141" s="44">
        <f>(I141/'Erkrankungs- und Strukturdaten'!$C$28*'Erkrankungs- und Strukturdaten'!$E$30*'Erkrankungs- und Strukturdaten'!$F$30)+(I141/'Erkrankungs- und Strukturdaten'!$C$29*'Erkrankungs- und Strukturdaten'!$G$30)</f>
        <v>0</v>
      </c>
      <c r="AB141" s="2">
        <f t="shared" si="6"/>
        <v>44418</v>
      </c>
    </row>
    <row r="142" spans="1:28" ht="15" x14ac:dyDescent="0.2">
      <c r="A142" s="42">
        <v>133</v>
      </c>
      <c r="B142" s="375"/>
      <c r="C142" s="29">
        <f t="shared" si="5"/>
        <v>44419</v>
      </c>
      <c r="D142" s="30">
        <f>SUMIF('Fallzahlen (Berechnung)'!D:D,"&lt;="&amp;Prognoseergebnis!C142,'Fallzahlen (Berechnung)'!E:E)-'Fallzahlen (Berechnung)'!$E$1</f>
        <v>698897.79656085023</v>
      </c>
      <c r="E142" s="117" t="e">
        <f>VLOOKUP(C142,'Fallzahlen (Berechnung)'!$D:$E,'Fallzahlen (Berechnung)'!$E$1,FALSE)</f>
        <v>#N/A</v>
      </c>
      <c r="G142" s="18">
        <v>133</v>
      </c>
      <c r="H142" s="30">
        <f>ROUND('Erkrankungs- und Strukturdaten'!$C$8*D142-IF(G142&gt;'Erkrankungs- und Strukturdaten'!$C$14,VLOOKUP(Prognoseergebnis!G142-ROUNDDOWN('Erkrankungs- und Strukturdaten'!$C$14,0),$A:$D,$D$6,FALSE)*'Erkrankungs- und Strukturdaten'!$C$8,0)
+IF(G142&gt;'Erkrankungs- und Strukturdaten'!$C$15,VLOOKUP(Prognoseergebnis!G142-ROUNDDOWN('Erkrankungs- und Strukturdaten'!$C$15,0),A:D,$D$6,FALSE)*'Erkrankungs- und Strukturdaten'!$C$9,0)
-IF(G142&gt;'Erkrankungs- und Strukturdaten'!$C$15+'Erkrankungs- und Strukturdaten'!$C$16,VLOOKUP(Prognoseergebnis!G142-ROUNDDOWN('Erkrankungs- und Strukturdaten'!$C$15-'Erkrankungs- und Strukturdaten'!$C$16,0),A:D,$D$6,FALSE)*'Erkrankungs- und Strukturdaten'!$C$9,0),0)</f>
        <v>0</v>
      </c>
      <c r="I142" s="30">
        <f>ROUND('Erkrankungs- und Strukturdaten'!$C$9*D142-IF(G142&gt;'Erkrankungs- und Strukturdaten'!$C$15,VLOOKUP(Prognoseergebnis!G142-'Erkrankungs- und Strukturdaten'!$C$15,$A:$D,$D$6,FALSE)*'Erkrankungs- und Strukturdaten'!$C$9,0),0)</f>
        <v>0</v>
      </c>
      <c r="J142" s="30">
        <f>I142*'Erkrankungs- und Strukturdaten'!$C$10/'Erkrankungs- und Strukturdaten'!$C$9</f>
        <v>0</v>
      </c>
      <c r="K142" s="30">
        <f>I142*'Erkrankungs- und Strukturdaten'!$C$21</f>
        <v>0</v>
      </c>
      <c r="L142" s="11"/>
      <c r="M142" s="82">
        <f>SUM($K$66:K142)</f>
        <v>53620</v>
      </c>
      <c r="N142" s="9"/>
      <c r="O142" s="30">
        <f>IF(AND(((H142/'Erkrankungs- und Strukturdaten'!$C$25)*'Erkrankungs- und Strukturdaten'!$E$27)+(H142/'Erkrankungs- und Strukturdaten'!$C$26)&lt;1,((H142/'Erkrankungs- und Strukturdaten'!$C$25)*'Erkrankungs- und Strukturdaten'!$E$27)+(H142/'Erkrankungs- und Strukturdaten'!$C$26)&gt;0),1,((H142/'Erkrankungs- und Strukturdaten'!$C$25)*'Erkrankungs- und Strukturdaten'!$E$27)+(H142/'Erkrankungs- und Strukturdaten'!$C$26))</f>
        <v>0</v>
      </c>
      <c r="P142" s="30">
        <f>ROUNDUP(((I142/'Erkrankungs- und Strukturdaten'!$C$28)*'Erkrankungs- und Strukturdaten'!$E$30)+(I142/'Erkrankungs- und Strukturdaten'!$C$29),0)</f>
        <v>0</v>
      </c>
      <c r="Q142" s="30">
        <f>ROUNDUP((H142/'Erkrankungs- und Strukturdaten'!$C$34*'Erkrankungs- und Strukturdaten'!$E$36)+(H142/'Erkrankungs- und Strukturdaten'!$C$35),0)</f>
        <v>0</v>
      </c>
      <c r="R142" s="30">
        <f>ROUNDUP((I142*'Erkrankungs- und Strukturdaten'!$C$40/'Erkrankungs- und Strukturdaten'!$C$38*'Erkrankungs- und Strukturdaten'!$E$39)+(I142*(1-'Erkrankungs- und Strukturdaten'!$C$40)/'Erkrankungs- und Strukturdaten'!$C$37*'Erkrankungs- und Strukturdaten'!$E$39),0)</f>
        <v>0</v>
      </c>
      <c r="S142" s="52"/>
      <c r="U142" s="44">
        <f>((H142/'Erkrankungs- und Strukturdaten'!$C$25)*'Erkrankungs- und Strukturdaten'!$E$27*'Erkrankungs- und Strukturdaten'!$F$27)+(H142/'Erkrankungs- und Strukturdaten'!$C$26*'Erkrankungs- und Strukturdaten'!$G$27)</f>
        <v>0</v>
      </c>
      <c r="V142" s="44">
        <f>(I142/'Erkrankungs- und Strukturdaten'!$C$28*'Erkrankungs- und Strukturdaten'!$E$30*'Erkrankungs- und Strukturdaten'!$F$30)+(I142/'Erkrankungs- und Strukturdaten'!$C$29*'Erkrankungs- und Strukturdaten'!$G$30)</f>
        <v>0</v>
      </c>
      <c r="AB142" s="2">
        <f t="shared" si="6"/>
        <v>44419</v>
      </c>
    </row>
    <row r="143" spans="1:28" ht="15" x14ac:dyDescent="0.2">
      <c r="A143" s="42">
        <v>134</v>
      </c>
      <c r="B143" s="373" t="s">
        <v>203</v>
      </c>
      <c r="C143" s="76">
        <f t="shared" si="5"/>
        <v>44420</v>
      </c>
      <c r="D143" s="77">
        <f>SUMIF('Fallzahlen (Berechnung)'!D:D,"&lt;="&amp;Prognoseergebnis!C143,'Fallzahlen (Berechnung)'!E:E)-'Fallzahlen (Berechnung)'!$E$1</f>
        <v>698897.79656085023</v>
      </c>
      <c r="E143" s="118" t="e">
        <f>VLOOKUP(C143,'Fallzahlen (Berechnung)'!$D:$E,'Fallzahlen (Berechnung)'!$E$1,FALSE)</f>
        <v>#N/A</v>
      </c>
      <c r="G143" s="18">
        <v>134</v>
      </c>
      <c r="H143" s="77">
        <f>ROUND('Erkrankungs- und Strukturdaten'!$C$8*D143-IF(G143&gt;'Erkrankungs- und Strukturdaten'!$C$14,VLOOKUP(Prognoseergebnis!G143-ROUNDDOWN('Erkrankungs- und Strukturdaten'!$C$14,0),$A:$D,$D$6,FALSE)*'Erkrankungs- und Strukturdaten'!$C$8,0)
+IF(G143&gt;'Erkrankungs- und Strukturdaten'!$C$15,VLOOKUP(Prognoseergebnis!G143-ROUNDDOWN('Erkrankungs- und Strukturdaten'!$C$15,0),A:D,$D$6,FALSE)*'Erkrankungs- und Strukturdaten'!$C$9,0)
-IF(G143&gt;'Erkrankungs- und Strukturdaten'!$C$15+'Erkrankungs- und Strukturdaten'!$C$16,VLOOKUP(Prognoseergebnis!G143-ROUNDDOWN('Erkrankungs- und Strukturdaten'!$C$15-'Erkrankungs- und Strukturdaten'!$C$16,0),A:D,$D$6,FALSE)*'Erkrankungs- und Strukturdaten'!$C$9,0),0)</f>
        <v>0</v>
      </c>
      <c r="I143" s="77">
        <f>ROUND('Erkrankungs- und Strukturdaten'!$C$9*D143-IF(G143&gt;'Erkrankungs- und Strukturdaten'!$C$15,VLOOKUP(Prognoseergebnis!G143-'Erkrankungs- und Strukturdaten'!$C$15,$A:$D,$D$6,FALSE)*'Erkrankungs- und Strukturdaten'!$C$9,0),0)</f>
        <v>0</v>
      </c>
      <c r="J143" s="77">
        <f>I143*'Erkrankungs- und Strukturdaten'!$C$10/'Erkrankungs- und Strukturdaten'!$C$9</f>
        <v>0</v>
      </c>
      <c r="K143" s="77">
        <f>I143*'Erkrankungs- und Strukturdaten'!$C$21</f>
        <v>0</v>
      </c>
      <c r="L143" s="11"/>
      <c r="M143" s="82">
        <f>SUM($K$66:K143)</f>
        <v>53620</v>
      </c>
      <c r="N143" s="9"/>
      <c r="O143" s="77">
        <f>IF(AND(((H143/'Erkrankungs- und Strukturdaten'!$C$25)*'Erkrankungs- und Strukturdaten'!$E$27)+(H143/'Erkrankungs- und Strukturdaten'!$C$26)&lt;1,((H143/'Erkrankungs- und Strukturdaten'!$C$25)*'Erkrankungs- und Strukturdaten'!$E$27)+(H143/'Erkrankungs- und Strukturdaten'!$C$26)&gt;0),1,((H143/'Erkrankungs- und Strukturdaten'!$C$25)*'Erkrankungs- und Strukturdaten'!$E$27)+(H143/'Erkrankungs- und Strukturdaten'!$C$26))</f>
        <v>0</v>
      </c>
      <c r="P143" s="77">
        <f>ROUNDUP(((I143/'Erkrankungs- und Strukturdaten'!$C$28)*'Erkrankungs- und Strukturdaten'!$E$30)+(I143/'Erkrankungs- und Strukturdaten'!$C$29),0)</f>
        <v>0</v>
      </c>
      <c r="Q143" s="77">
        <f>ROUNDUP((H143/'Erkrankungs- und Strukturdaten'!$C$34*'Erkrankungs- und Strukturdaten'!$E$36)+(H143/'Erkrankungs- und Strukturdaten'!$C$35),0)</f>
        <v>0</v>
      </c>
      <c r="R143" s="77">
        <f>ROUNDUP((I143*'Erkrankungs- und Strukturdaten'!$C$40/'Erkrankungs- und Strukturdaten'!$C$38*'Erkrankungs- und Strukturdaten'!$E$39)+(I143*(1-'Erkrankungs- und Strukturdaten'!$C$40)/'Erkrankungs- und Strukturdaten'!$C$37*'Erkrankungs- und Strukturdaten'!$E$39),0)</f>
        <v>0</v>
      </c>
      <c r="S143" s="52"/>
      <c r="U143" s="44">
        <f>((H143/'Erkrankungs- und Strukturdaten'!$C$25)*'Erkrankungs- und Strukturdaten'!$E$27*'Erkrankungs- und Strukturdaten'!$F$27)+(H143/'Erkrankungs- und Strukturdaten'!$C$26*'Erkrankungs- und Strukturdaten'!$G$27)</f>
        <v>0</v>
      </c>
      <c r="V143" s="44">
        <f>(I143/'Erkrankungs- und Strukturdaten'!$C$28*'Erkrankungs- und Strukturdaten'!$E$30*'Erkrankungs- und Strukturdaten'!$F$30)+(I143/'Erkrankungs- und Strukturdaten'!$C$29*'Erkrankungs- und Strukturdaten'!$G$30)</f>
        <v>0</v>
      </c>
      <c r="AB143" s="2">
        <f t="shared" si="6"/>
        <v>44420</v>
      </c>
    </row>
    <row r="144" spans="1:28" ht="15" x14ac:dyDescent="0.2">
      <c r="A144" s="42">
        <v>135</v>
      </c>
      <c r="B144" s="373"/>
      <c r="C144" s="28">
        <f t="shared" si="5"/>
        <v>44421</v>
      </c>
      <c r="D144" s="5">
        <f>SUMIF('Fallzahlen (Berechnung)'!D:D,"&lt;="&amp;Prognoseergebnis!C144,'Fallzahlen (Berechnung)'!E:E)-'Fallzahlen (Berechnung)'!$E$1</f>
        <v>698897.79656085023</v>
      </c>
      <c r="E144" s="115" t="e">
        <f>VLOOKUP(C144,'Fallzahlen (Berechnung)'!$D:$E,'Fallzahlen (Berechnung)'!$E$1,FALSE)</f>
        <v>#N/A</v>
      </c>
      <c r="G144" s="18">
        <v>135</v>
      </c>
      <c r="H144" s="5">
        <f>ROUND('Erkrankungs- und Strukturdaten'!$C$8*D144-IF(G144&gt;'Erkrankungs- und Strukturdaten'!$C$14,VLOOKUP(Prognoseergebnis!G144-ROUNDDOWN('Erkrankungs- und Strukturdaten'!$C$14,0),$A:$D,$D$6,FALSE)*'Erkrankungs- und Strukturdaten'!$C$8,0)
+IF(G144&gt;'Erkrankungs- und Strukturdaten'!$C$15,VLOOKUP(Prognoseergebnis!G144-ROUNDDOWN('Erkrankungs- und Strukturdaten'!$C$15,0),A:D,$D$6,FALSE)*'Erkrankungs- und Strukturdaten'!$C$9,0)
-IF(G144&gt;'Erkrankungs- und Strukturdaten'!$C$15+'Erkrankungs- und Strukturdaten'!$C$16,VLOOKUP(Prognoseergebnis!G144-ROUNDDOWN('Erkrankungs- und Strukturdaten'!$C$15-'Erkrankungs- und Strukturdaten'!$C$16,0),A:D,$D$6,FALSE)*'Erkrankungs- und Strukturdaten'!$C$9,0),0)</f>
        <v>0</v>
      </c>
      <c r="I144" s="5">
        <f>ROUND('Erkrankungs- und Strukturdaten'!$C$9*D144-IF(G144&gt;'Erkrankungs- und Strukturdaten'!$C$15,VLOOKUP(Prognoseergebnis!G144-'Erkrankungs- und Strukturdaten'!$C$15,$A:$D,$D$6,FALSE)*'Erkrankungs- und Strukturdaten'!$C$9,0),0)</f>
        <v>0</v>
      </c>
      <c r="J144" s="5">
        <f>I144*'Erkrankungs- und Strukturdaten'!$C$10/'Erkrankungs- und Strukturdaten'!$C$9</f>
        <v>0</v>
      </c>
      <c r="K144" s="5">
        <f>I144*'Erkrankungs- und Strukturdaten'!$C$21</f>
        <v>0</v>
      </c>
      <c r="L144" s="11"/>
      <c r="M144" s="82">
        <f>SUM($K$66:K144)</f>
        <v>53620</v>
      </c>
      <c r="N144" s="9"/>
      <c r="O144" s="5">
        <f>IF(AND(((H144/'Erkrankungs- und Strukturdaten'!$C$25)*'Erkrankungs- und Strukturdaten'!$E$27)+(H144/'Erkrankungs- und Strukturdaten'!$C$26)&lt;1,((H144/'Erkrankungs- und Strukturdaten'!$C$25)*'Erkrankungs- und Strukturdaten'!$E$27)+(H144/'Erkrankungs- und Strukturdaten'!$C$26)&gt;0),1,((H144/'Erkrankungs- und Strukturdaten'!$C$25)*'Erkrankungs- und Strukturdaten'!$E$27)+(H144/'Erkrankungs- und Strukturdaten'!$C$26))</f>
        <v>0</v>
      </c>
      <c r="P144" s="5">
        <f>ROUNDUP(((I144/'Erkrankungs- und Strukturdaten'!$C$28)*'Erkrankungs- und Strukturdaten'!$E$30)+(I144/'Erkrankungs- und Strukturdaten'!$C$29),0)</f>
        <v>0</v>
      </c>
      <c r="Q144" s="5">
        <f>ROUNDUP((H144/'Erkrankungs- und Strukturdaten'!$C$34*'Erkrankungs- und Strukturdaten'!$E$36)+(H144/'Erkrankungs- und Strukturdaten'!$C$35),0)</f>
        <v>0</v>
      </c>
      <c r="R144" s="5">
        <f>ROUNDUP((I144*'Erkrankungs- und Strukturdaten'!$C$40/'Erkrankungs- und Strukturdaten'!$C$38*'Erkrankungs- und Strukturdaten'!$E$39)+(I144*(1-'Erkrankungs- und Strukturdaten'!$C$40)/'Erkrankungs- und Strukturdaten'!$C$37*'Erkrankungs- und Strukturdaten'!$E$39),0)</f>
        <v>0</v>
      </c>
      <c r="S144" s="52"/>
      <c r="U144" s="44">
        <f>((H144/'Erkrankungs- und Strukturdaten'!$C$25)*'Erkrankungs- und Strukturdaten'!$E$27*'Erkrankungs- und Strukturdaten'!$F$27)+(H144/'Erkrankungs- und Strukturdaten'!$C$26*'Erkrankungs- und Strukturdaten'!$G$27)</f>
        <v>0</v>
      </c>
      <c r="V144" s="44">
        <f>(I144/'Erkrankungs- und Strukturdaten'!$C$28*'Erkrankungs- und Strukturdaten'!$E$30*'Erkrankungs- und Strukturdaten'!$F$30)+(I144/'Erkrankungs- und Strukturdaten'!$C$29*'Erkrankungs- und Strukturdaten'!$G$30)</f>
        <v>0</v>
      </c>
      <c r="AB144" s="2">
        <f t="shared" si="6"/>
        <v>44421</v>
      </c>
    </row>
    <row r="145" spans="1:28" ht="15" x14ac:dyDescent="0.2">
      <c r="A145" s="42">
        <v>136</v>
      </c>
      <c r="B145" s="373"/>
      <c r="C145" s="27">
        <f t="shared" si="5"/>
        <v>44422</v>
      </c>
      <c r="D145" s="6">
        <f>SUMIF('Fallzahlen (Berechnung)'!D:D,"&lt;="&amp;Prognoseergebnis!C145,'Fallzahlen (Berechnung)'!E:E)-'Fallzahlen (Berechnung)'!$E$1</f>
        <v>698897.79656085023</v>
      </c>
      <c r="E145" s="114" t="e">
        <f>VLOOKUP(C145,'Fallzahlen (Berechnung)'!$D:$E,'Fallzahlen (Berechnung)'!$E$1,FALSE)</f>
        <v>#N/A</v>
      </c>
      <c r="G145" s="18">
        <v>136</v>
      </c>
      <c r="H145" s="6">
        <f>ROUND('Erkrankungs- und Strukturdaten'!$C$8*D145-IF(G145&gt;'Erkrankungs- und Strukturdaten'!$C$14,VLOOKUP(Prognoseergebnis!G145-ROUNDDOWN('Erkrankungs- und Strukturdaten'!$C$14,0),$A:$D,$D$6,FALSE)*'Erkrankungs- und Strukturdaten'!$C$8,0)
+IF(G145&gt;'Erkrankungs- und Strukturdaten'!$C$15,VLOOKUP(Prognoseergebnis!G145-ROUNDDOWN('Erkrankungs- und Strukturdaten'!$C$15,0),A:D,$D$6,FALSE)*'Erkrankungs- und Strukturdaten'!$C$9,0)
-IF(G145&gt;'Erkrankungs- und Strukturdaten'!$C$15+'Erkrankungs- und Strukturdaten'!$C$16,VLOOKUP(Prognoseergebnis!G145-ROUNDDOWN('Erkrankungs- und Strukturdaten'!$C$15-'Erkrankungs- und Strukturdaten'!$C$16,0),A:D,$D$6,FALSE)*'Erkrankungs- und Strukturdaten'!$C$9,0),0)</f>
        <v>0</v>
      </c>
      <c r="I145" s="6">
        <f>ROUND('Erkrankungs- und Strukturdaten'!$C$9*D145-IF(G145&gt;'Erkrankungs- und Strukturdaten'!$C$15,VLOOKUP(Prognoseergebnis!G145-'Erkrankungs- und Strukturdaten'!$C$15,$A:$D,$D$6,FALSE)*'Erkrankungs- und Strukturdaten'!$C$9,0),0)</f>
        <v>0</v>
      </c>
      <c r="J145" s="6">
        <f>I145*'Erkrankungs- und Strukturdaten'!$C$10/'Erkrankungs- und Strukturdaten'!$C$9</f>
        <v>0</v>
      </c>
      <c r="K145" s="6">
        <f>I145*'Erkrankungs- und Strukturdaten'!$C$21</f>
        <v>0</v>
      </c>
      <c r="L145" s="11"/>
      <c r="M145" s="82">
        <f>SUM($K$66:K145)</f>
        <v>53620</v>
      </c>
      <c r="N145" s="9"/>
      <c r="O145" s="6">
        <f>IF(AND(((H145/'Erkrankungs- und Strukturdaten'!$C$25)*'Erkrankungs- und Strukturdaten'!$E$27)+(H145/'Erkrankungs- und Strukturdaten'!$C$26)&lt;1,((H145/'Erkrankungs- und Strukturdaten'!$C$25)*'Erkrankungs- und Strukturdaten'!$E$27)+(H145/'Erkrankungs- und Strukturdaten'!$C$26)&gt;0),1,((H145/'Erkrankungs- und Strukturdaten'!$C$25)*'Erkrankungs- und Strukturdaten'!$E$27)+(H145/'Erkrankungs- und Strukturdaten'!$C$26))</f>
        <v>0</v>
      </c>
      <c r="P145" s="6">
        <f>ROUNDUP(((I145/'Erkrankungs- und Strukturdaten'!$C$28)*'Erkrankungs- und Strukturdaten'!$E$30)+(I145/'Erkrankungs- und Strukturdaten'!$C$29),0)</f>
        <v>0</v>
      </c>
      <c r="Q145" s="6">
        <f>ROUNDUP((H145/'Erkrankungs- und Strukturdaten'!$C$34*'Erkrankungs- und Strukturdaten'!$E$36)+(H145/'Erkrankungs- und Strukturdaten'!$C$35),0)</f>
        <v>0</v>
      </c>
      <c r="R145" s="6">
        <f>ROUNDUP((I145*'Erkrankungs- und Strukturdaten'!$C$40/'Erkrankungs- und Strukturdaten'!$C$38*'Erkrankungs- und Strukturdaten'!$E$39)+(I145*(1-'Erkrankungs- und Strukturdaten'!$C$40)/'Erkrankungs- und Strukturdaten'!$C$37*'Erkrankungs- und Strukturdaten'!$E$39),0)</f>
        <v>0</v>
      </c>
      <c r="S145" s="52"/>
      <c r="U145" s="44">
        <f>((H145/'Erkrankungs- und Strukturdaten'!$C$25)*'Erkrankungs- und Strukturdaten'!$E$27*'Erkrankungs- und Strukturdaten'!$F$27)+(H145/'Erkrankungs- und Strukturdaten'!$C$26*'Erkrankungs- und Strukturdaten'!$G$27)</f>
        <v>0</v>
      </c>
      <c r="V145" s="44">
        <f>(I145/'Erkrankungs- und Strukturdaten'!$C$28*'Erkrankungs- und Strukturdaten'!$E$30*'Erkrankungs- und Strukturdaten'!$F$30)+(I145/'Erkrankungs- und Strukturdaten'!$C$29*'Erkrankungs- und Strukturdaten'!$G$30)</f>
        <v>0</v>
      </c>
      <c r="AB145" s="2">
        <f t="shared" si="6"/>
        <v>44422</v>
      </c>
    </row>
    <row r="146" spans="1:28" ht="15" x14ac:dyDescent="0.2">
      <c r="A146" s="42">
        <v>137</v>
      </c>
      <c r="B146" s="373"/>
      <c r="C146" s="28">
        <f t="shared" si="5"/>
        <v>44423</v>
      </c>
      <c r="D146" s="5">
        <f>SUMIF('Fallzahlen (Berechnung)'!D:D,"&lt;="&amp;Prognoseergebnis!C146,'Fallzahlen (Berechnung)'!E:E)-'Fallzahlen (Berechnung)'!$E$1</f>
        <v>698897.79656085023</v>
      </c>
      <c r="E146" s="115" t="e">
        <f>VLOOKUP(C146,'Fallzahlen (Berechnung)'!$D:$E,'Fallzahlen (Berechnung)'!$E$1,FALSE)</f>
        <v>#N/A</v>
      </c>
      <c r="G146" s="18">
        <v>137</v>
      </c>
      <c r="H146" s="5">
        <f>ROUND('Erkrankungs- und Strukturdaten'!$C$8*D146-IF(G146&gt;'Erkrankungs- und Strukturdaten'!$C$14,VLOOKUP(Prognoseergebnis!G146-ROUNDDOWN('Erkrankungs- und Strukturdaten'!$C$14,0),$A:$D,$D$6,FALSE)*'Erkrankungs- und Strukturdaten'!$C$8,0)
+IF(G146&gt;'Erkrankungs- und Strukturdaten'!$C$15,VLOOKUP(Prognoseergebnis!G146-ROUNDDOWN('Erkrankungs- und Strukturdaten'!$C$15,0),A:D,$D$6,FALSE)*'Erkrankungs- und Strukturdaten'!$C$9,0)
-IF(G146&gt;'Erkrankungs- und Strukturdaten'!$C$15+'Erkrankungs- und Strukturdaten'!$C$16,VLOOKUP(Prognoseergebnis!G146-ROUNDDOWN('Erkrankungs- und Strukturdaten'!$C$15-'Erkrankungs- und Strukturdaten'!$C$16,0),A:D,$D$6,FALSE)*'Erkrankungs- und Strukturdaten'!$C$9,0),0)</f>
        <v>0</v>
      </c>
      <c r="I146" s="5">
        <f>ROUND('Erkrankungs- und Strukturdaten'!$C$9*D146-IF(G146&gt;'Erkrankungs- und Strukturdaten'!$C$15,VLOOKUP(Prognoseergebnis!G146-'Erkrankungs- und Strukturdaten'!$C$15,$A:$D,$D$6,FALSE)*'Erkrankungs- und Strukturdaten'!$C$9,0),0)</f>
        <v>0</v>
      </c>
      <c r="J146" s="5">
        <f>I146*'Erkrankungs- und Strukturdaten'!$C$10/'Erkrankungs- und Strukturdaten'!$C$9</f>
        <v>0</v>
      </c>
      <c r="K146" s="5">
        <f>I146*'Erkrankungs- und Strukturdaten'!$C$21</f>
        <v>0</v>
      </c>
      <c r="L146" s="11"/>
      <c r="M146" s="82">
        <f>SUM($K$66:K146)</f>
        <v>53620</v>
      </c>
      <c r="N146" s="9"/>
      <c r="O146" s="5">
        <f>IF(AND(((H146/'Erkrankungs- und Strukturdaten'!$C$25)*'Erkrankungs- und Strukturdaten'!$E$27)+(H146/'Erkrankungs- und Strukturdaten'!$C$26)&lt;1,((H146/'Erkrankungs- und Strukturdaten'!$C$25)*'Erkrankungs- und Strukturdaten'!$E$27)+(H146/'Erkrankungs- und Strukturdaten'!$C$26)&gt;0),1,((H146/'Erkrankungs- und Strukturdaten'!$C$25)*'Erkrankungs- und Strukturdaten'!$E$27)+(H146/'Erkrankungs- und Strukturdaten'!$C$26))</f>
        <v>0</v>
      </c>
      <c r="P146" s="5">
        <f>ROUNDUP(((I146/'Erkrankungs- und Strukturdaten'!$C$28)*'Erkrankungs- und Strukturdaten'!$E$30)+(I146/'Erkrankungs- und Strukturdaten'!$C$29),0)</f>
        <v>0</v>
      </c>
      <c r="Q146" s="5">
        <f>ROUNDUP((H146/'Erkrankungs- und Strukturdaten'!$C$34*'Erkrankungs- und Strukturdaten'!$E$36)+(H146/'Erkrankungs- und Strukturdaten'!$C$35),0)</f>
        <v>0</v>
      </c>
      <c r="R146" s="5">
        <f>ROUNDUP((I146*'Erkrankungs- und Strukturdaten'!$C$40/'Erkrankungs- und Strukturdaten'!$C$38*'Erkrankungs- und Strukturdaten'!$E$39)+(I146*(1-'Erkrankungs- und Strukturdaten'!$C$40)/'Erkrankungs- und Strukturdaten'!$C$37*'Erkrankungs- und Strukturdaten'!$E$39),0)</f>
        <v>0</v>
      </c>
      <c r="S146" s="52"/>
      <c r="U146" s="44">
        <f>((H146/'Erkrankungs- und Strukturdaten'!$C$25)*'Erkrankungs- und Strukturdaten'!$E$27*'Erkrankungs- und Strukturdaten'!$F$27)+(H146/'Erkrankungs- und Strukturdaten'!$C$26*'Erkrankungs- und Strukturdaten'!$G$27)</f>
        <v>0</v>
      </c>
      <c r="V146" s="44">
        <f>(I146/'Erkrankungs- und Strukturdaten'!$C$28*'Erkrankungs- und Strukturdaten'!$E$30*'Erkrankungs- und Strukturdaten'!$F$30)+(I146/'Erkrankungs- und Strukturdaten'!$C$29*'Erkrankungs- und Strukturdaten'!$G$30)</f>
        <v>0</v>
      </c>
      <c r="AB146" s="2">
        <f t="shared" si="6"/>
        <v>44423</v>
      </c>
    </row>
    <row r="147" spans="1:28" ht="15" x14ac:dyDescent="0.2">
      <c r="A147" s="42">
        <v>138</v>
      </c>
      <c r="B147" s="373"/>
      <c r="C147" s="27">
        <f t="shared" si="5"/>
        <v>44424</v>
      </c>
      <c r="D147" s="6">
        <f>SUMIF('Fallzahlen (Berechnung)'!D:D,"&lt;="&amp;Prognoseergebnis!C147,'Fallzahlen (Berechnung)'!E:E)-'Fallzahlen (Berechnung)'!$E$1</f>
        <v>698897.79656085023</v>
      </c>
      <c r="E147" s="114" t="e">
        <f>VLOOKUP(C147,'Fallzahlen (Berechnung)'!$D:$E,'Fallzahlen (Berechnung)'!$E$1,FALSE)</f>
        <v>#N/A</v>
      </c>
      <c r="G147" s="18">
        <v>138</v>
      </c>
      <c r="H147" s="6">
        <f>ROUND('Erkrankungs- und Strukturdaten'!$C$8*D147-IF(G147&gt;'Erkrankungs- und Strukturdaten'!$C$14,VLOOKUP(Prognoseergebnis!G147-ROUNDDOWN('Erkrankungs- und Strukturdaten'!$C$14,0),$A:$D,$D$6,FALSE)*'Erkrankungs- und Strukturdaten'!$C$8,0)
+IF(G147&gt;'Erkrankungs- und Strukturdaten'!$C$15,VLOOKUP(Prognoseergebnis!G147-ROUNDDOWN('Erkrankungs- und Strukturdaten'!$C$15,0),A:D,$D$6,FALSE)*'Erkrankungs- und Strukturdaten'!$C$9,0)
-IF(G147&gt;'Erkrankungs- und Strukturdaten'!$C$15+'Erkrankungs- und Strukturdaten'!$C$16,VLOOKUP(Prognoseergebnis!G147-ROUNDDOWN('Erkrankungs- und Strukturdaten'!$C$15-'Erkrankungs- und Strukturdaten'!$C$16,0),A:D,$D$6,FALSE)*'Erkrankungs- und Strukturdaten'!$C$9,0),0)</f>
        <v>0</v>
      </c>
      <c r="I147" s="6">
        <f>ROUND('Erkrankungs- und Strukturdaten'!$C$9*D147-IF(G147&gt;'Erkrankungs- und Strukturdaten'!$C$15,VLOOKUP(Prognoseergebnis!G147-'Erkrankungs- und Strukturdaten'!$C$15,$A:$D,$D$6,FALSE)*'Erkrankungs- und Strukturdaten'!$C$9,0),0)</f>
        <v>0</v>
      </c>
      <c r="J147" s="6">
        <f>I147*'Erkrankungs- und Strukturdaten'!$C$10/'Erkrankungs- und Strukturdaten'!$C$9</f>
        <v>0</v>
      </c>
      <c r="K147" s="6">
        <f>I147*'Erkrankungs- und Strukturdaten'!$C$21</f>
        <v>0</v>
      </c>
      <c r="L147" s="11"/>
      <c r="M147" s="82">
        <f>SUM($K$66:K147)</f>
        <v>53620</v>
      </c>
      <c r="N147" s="9"/>
      <c r="O147" s="6">
        <f>IF(AND(((H147/'Erkrankungs- und Strukturdaten'!$C$25)*'Erkrankungs- und Strukturdaten'!$E$27)+(H147/'Erkrankungs- und Strukturdaten'!$C$26)&lt;1,((H147/'Erkrankungs- und Strukturdaten'!$C$25)*'Erkrankungs- und Strukturdaten'!$E$27)+(H147/'Erkrankungs- und Strukturdaten'!$C$26)&gt;0),1,((H147/'Erkrankungs- und Strukturdaten'!$C$25)*'Erkrankungs- und Strukturdaten'!$E$27)+(H147/'Erkrankungs- und Strukturdaten'!$C$26))</f>
        <v>0</v>
      </c>
      <c r="P147" s="6">
        <f>ROUNDUP(((I147/'Erkrankungs- und Strukturdaten'!$C$28)*'Erkrankungs- und Strukturdaten'!$E$30)+(I147/'Erkrankungs- und Strukturdaten'!$C$29),0)</f>
        <v>0</v>
      </c>
      <c r="Q147" s="6">
        <f>ROUNDUP((H147/'Erkrankungs- und Strukturdaten'!$C$34*'Erkrankungs- und Strukturdaten'!$E$36)+(H147/'Erkrankungs- und Strukturdaten'!$C$35),0)</f>
        <v>0</v>
      </c>
      <c r="R147" s="6">
        <f>ROUNDUP((I147*'Erkrankungs- und Strukturdaten'!$C$40/'Erkrankungs- und Strukturdaten'!$C$38*'Erkrankungs- und Strukturdaten'!$E$39)+(I147*(1-'Erkrankungs- und Strukturdaten'!$C$40)/'Erkrankungs- und Strukturdaten'!$C$37*'Erkrankungs- und Strukturdaten'!$E$39),0)</f>
        <v>0</v>
      </c>
      <c r="S147" s="52"/>
      <c r="U147" s="44">
        <f>((H147/'Erkrankungs- und Strukturdaten'!$C$25)*'Erkrankungs- und Strukturdaten'!$E$27*'Erkrankungs- und Strukturdaten'!$F$27)+(H147/'Erkrankungs- und Strukturdaten'!$C$26*'Erkrankungs- und Strukturdaten'!$G$27)</f>
        <v>0</v>
      </c>
      <c r="V147" s="44">
        <f>(I147/'Erkrankungs- und Strukturdaten'!$C$28*'Erkrankungs- und Strukturdaten'!$E$30*'Erkrankungs- und Strukturdaten'!$F$30)+(I147/'Erkrankungs- und Strukturdaten'!$C$29*'Erkrankungs- und Strukturdaten'!$G$30)</f>
        <v>0</v>
      </c>
      <c r="AB147" s="2">
        <f t="shared" si="6"/>
        <v>44424</v>
      </c>
    </row>
    <row r="148" spans="1:28" ht="15" x14ac:dyDescent="0.2">
      <c r="A148" s="42">
        <v>139</v>
      </c>
      <c r="B148" s="373"/>
      <c r="C148" s="28">
        <f t="shared" si="5"/>
        <v>44425</v>
      </c>
      <c r="D148" s="5">
        <f>SUMIF('Fallzahlen (Berechnung)'!D:D,"&lt;="&amp;Prognoseergebnis!C148,'Fallzahlen (Berechnung)'!E:E)-'Fallzahlen (Berechnung)'!$E$1</f>
        <v>698897.79656085023</v>
      </c>
      <c r="E148" s="115" t="e">
        <f>VLOOKUP(C148,'Fallzahlen (Berechnung)'!$D:$E,'Fallzahlen (Berechnung)'!$E$1,FALSE)</f>
        <v>#N/A</v>
      </c>
      <c r="G148" s="18">
        <v>139</v>
      </c>
      <c r="H148" s="5">
        <f>ROUND('Erkrankungs- und Strukturdaten'!$C$8*D148-IF(G148&gt;'Erkrankungs- und Strukturdaten'!$C$14,VLOOKUP(Prognoseergebnis!G148-ROUNDDOWN('Erkrankungs- und Strukturdaten'!$C$14,0),$A:$D,$D$6,FALSE)*'Erkrankungs- und Strukturdaten'!$C$8,0)
+IF(G148&gt;'Erkrankungs- und Strukturdaten'!$C$15,VLOOKUP(Prognoseergebnis!G148-ROUNDDOWN('Erkrankungs- und Strukturdaten'!$C$15,0),A:D,$D$6,FALSE)*'Erkrankungs- und Strukturdaten'!$C$9,0)
-IF(G148&gt;'Erkrankungs- und Strukturdaten'!$C$15+'Erkrankungs- und Strukturdaten'!$C$16,VLOOKUP(Prognoseergebnis!G148-ROUNDDOWN('Erkrankungs- und Strukturdaten'!$C$15-'Erkrankungs- und Strukturdaten'!$C$16,0),A:D,$D$6,FALSE)*'Erkrankungs- und Strukturdaten'!$C$9,0),0)</f>
        <v>0</v>
      </c>
      <c r="I148" s="5">
        <f>ROUND('Erkrankungs- und Strukturdaten'!$C$9*D148-IF(G148&gt;'Erkrankungs- und Strukturdaten'!$C$15,VLOOKUP(Prognoseergebnis!G148-'Erkrankungs- und Strukturdaten'!$C$15,$A:$D,$D$6,FALSE)*'Erkrankungs- und Strukturdaten'!$C$9,0),0)</f>
        <v>0</v>
      </c>
      <c r="J148" s="5">
        <f>I148*'Erkrankungs- und Strukturdaten'!$C$10/'Erkrankungs- und Strukturdaten'!$C$9</f>
        <v>0</v>
      </c>
      <c r="K148" s="5">
        <f>I148*'Erkrankungs- und Strukturdaten'!$C$21</f>
        <v>0</v>
      </c>
      <c r="L148" s="11"/>
      <c r="M148" s="82">
        <f>SUM($K$66:K148)</f>
        <v>53620</v>
      </c>
      <c r="N148" s="9"/>
      <c r="O148" s="5">
        <f>IF(AND(((H148/'Erkrankungs- und Strukturdaten'!$C$25)*'Erkrankungs- und Strukturdaten'!$E$27)+(H148/'Erkrankungs- und Strukturdaten'!$C$26)&lt;1,((H148/'Erkrankungs- und Strukturdaten'!$C$25)*'Erkrankungs- und Strukturdaten'!$E$27)+(H148/'Erkrankungs- und Strukturdaten'!$C$26)&gt;0),1,((H148/'Erkrankungs- und Strukturdaten'!$C$25)*'Erkrankungs- und Strukturdaten'!$E$27)+(H148/'Erkrankungs- und Strukturdaten'!$C$26))</f>
        <v>0</v>
      </c>
      <c r="P148" s="5">
        <f>ROUNDUP(((I148/'Erkrankungs- und Strukturdaten'!$C$28)*'Erkrankungs- und Strukturdaten'!$E$30)+(I148/'Erkrankungs- und Strukturdaten'!$C$29),0)</f>
        <v>0</v>
      </c>
      <c r="Q148" s="5">
        <f>ROUNDUP((H148/'Erkrankungs- und Strukturdaten'!$C$34*'Erkrankungs- und Strukturdaten'!$E$36)+(H148/'Erkrankungs- und Strukturdaten'!$C$35),0)</f>
        <v>0</v>
      </c>
      <c r="R148" s="5">
        <f>ROUNDUP((I148*'Erkrankungs- und Strukturdaten'!$C$40/'Erkrankungs- und Strukturdaten'!$C$38*'Erkrankungs- und Strukturdaten'!$E$39)+(I148*(1-'Erkrankungs- und Strukturdaten'!$C$40)/'Erkrankungs- und Strukturdaten'!$C$37*'Erkrankungs- und Strukturdaten'!$E$39),0)</f>
        <v>0</v>
      </c>
      <c r="S148" s="52"/>
      <c r="U148" s="44">
        <f>((H148/'Erkrankungs- und Strukturdaten'!$C$25)*'Erkrankungs- und Strukturdaten'!$E$27*'Erkrankungs- und Strukturdaten'!$F$27)+(H148/'Erkrankungs- und Strukturdaten'!$C$26*'Erkrankungs- und Strukturdaten'!$G$27)</f>
        <v>0</v>
      </c>
      <c r="V148" s="44">
        <f>(I148/'Erkrankungs- und Strukturdaten'!$C$28*'Erkrankungs- und Strukturdaten'!$E$30*'Erkrankungs- und Strukturdaten'!$F$30)+(I148/'Erkrankungs- und Strukturdaten'!$C$29*'Erkrankungs- und Strukturdaten'!$G$30)</f>
        <v>0</v>
      </c>
      <c r="AB148" s="2">
        <f t="shared" si="6"/>
        <v>44425</v>
      </c>
    </row>
    <row r="149" spans="1:28" ht="15" x14ac:dyDescent="0.2">
      <c r="A149" s="42">
        <v>140</v>
      </c>
      <c r="B149" s="373"/>
      <c r="C149" s="73">
        <f t="shared" si="5"/>
        <v>44426</v>
      </c>
      <c r="D149" s="74">
        <f>SUMIF('Fallzahlen (Berechnung)'!D:D,"&lt;="&amp;Prognoseergebnis!C149,'Fallzahlen (Berechnung)'!E:E)-'Fallzahlen (Berechnung)'!$E$1</f>
        <v>698897.79656085023</v>
      </c>
      <c r="E149" s="119" t="e">
        <f>VLOOKUP(C149,'Fallzahlen (Berechnung)'!$D:$E,'Fallzahlen (Berechnung)'!$E$1,FALSE)</f>
        <v>#N/A</v>
      </c>
      <c r="G149" s="18">
        <v>140</v>
      </c>
      <c r="H149" s="74">
        <f>ROUND('Erkrankungs- und Strukturdaten'!$C$8*D149-IF(G149&gt;'Erkrankungs- und Strukturdaten'!$C$14,VLOOKUP(Prognoseergebnis!G149-ROUNDDOWN('Erkrankungs- und Strukturdaten'!$C$14,0),$A:$D,$D$6,FALSE)*'Erkrankungs- und Strukturdaten'!$C$8,0)
+IF(G149&gt;'Erkrankungs- und Strukturdaten'!$C$15,VLOOKUP(Prognoseergebnis!G149-ROUNDDOWN('Erkrankungs- und Strukturdaten'!$C$15,0),A:D,$D$6,FALSE)*'Erkrankungs- und Strukturdaten'!$C$9,0)
-IF(G149&gt;'Erkrankungs- und Strukturdaten'!$C$15+'Erkrankungs- und Strukturdaten'!$C$16,VLOOKUP(Prognoseergebnis!G149-ROUNDDOWN('Erkrankungs- und Strukturdaten'!$C$15-'Erkrankungs- und Strukturdaten'!$C$16,0),A:D,$D$6,FALSE)*'Erkrankungs- und Strukturdaten'!$C$9,0),0)</f>
        <v>0</v>
      </c>
      <c r="I149" s="74">
        <f>ROUND('Erkrankungs- und Strukturdaten'!$C$9*D149-IF(G149&gt;'Erkrankungs- und Strukturdaten'!$C$15,VLOOKUP(Prognoseergebnis!G149-'Erkrankungs- und Strukturdaten'!$C$15,$A:$D,$D$6,FALSE)*'Erkrankungs- und Strukturdaten'!$C$9,0),0)</f>
        <v>0</v>
      </c>
      <c r="J149" s="74">
        <f>I149*'Erkrankungs- und Strukturdaten'!$C$10/'Erkrankungs- und Strukturdaten'!$C$9</f>
        <v>0</v>
      </c>
      <c r="K149" s="74">
        <f>I149*'Erkrankungs- und Strukturdaten'!$C$21</f>
        <v>0</v>
      </c>
      <c r="L149" s="11"/>
      <c r="M149" s="82">
        <f>SUM($K$66:K149)</f>
        <v>53620</v>
      </c>
      <c r="N149" s="9"/>
      <c r="O149" s="74">
        <f>IF(AND(((H149/'Erkrankungs- und Strukturdaten'!$C$25)*'Erkrankungs- und Strukturdaten'!$E$27)+(H149/'Erkrankungs- und Strukturdaten'!$C$26)&lt;1,((H149/'Erkrankungs- und Strukturdaten'!$C$25)*'Erkrankungs- und Strukturdaten'!$E$27)+(H149/'Erkrankungs- und Strukturdaten'!$C$26)&gt;0),1,((H149/'Erkrankungs- und Strukturdaten'!$C$25)*'Erkrankungs- und Strukturdaten'!$E$27)+(H149/'Erkrankungs- und Strukturdaten'!$C$26))</f>
        <v>0</v>
      </c>
      <c r="P149" s="74">
        <f>ROUNDUP(((I149/'Erkrankungs- und Strukturdaten'!$C$28)*'Erkrankungs- und Strukturdaten'!$E$30)+(I149/'Erkrankungs- und Strukturdaten'!$C$29),0)</f>
        <v>0</v>
      </c>
      <c r="Q149" s="74">
        <f>ROUNDUP((H149/'Erkrankungs- und Strukturdaten'!$C$34*'Erkrankungs- und Strukturdaten'!$E$36)+(H149/'Erkrankungs- und Strukturdaten'!$C$35),0)</f>
        <v>0</v>
      </c>
      <c r="R149" s="74">
        <f>ROUNDUP((I149*'Erkrankungs- und Strukturdaten'!$C$40/'Erkrankungs- und Strukturdaten'!$C$38*'Erkrankungs- und Strukturdaten'!$E$39)+(I149*(1-'Erkrankungs- und Strukturdaten'!$C$40)/'Erkrankungs- und Strukturdaten'!$C$37*'Erkrankungs- und Strukturdaten'!$E$39),0)</f>
        <v>0</v>
      </c>
      <c r="S149" s="52"/>
      <c r="U149" s="44">
        <f>((H149/'Erkrankungs- und Strukturdaten'!$C$25)*'Erkrankungs- und Strukturdaten'!$E$27*'Erkrankungs- und Strukturdaten'!$F$27)+(H149/'Erkrankungs- und Strukturdaten'!$C$26*'Erkrankungs- und Strukturdaten'!$G$27)</f>
        <v>0</v>
      </c>
      <c r="V149" s="44">
        <f>(I149/'Erkrankungs- und Strukturdaten'!$C$28*'Erkrankungs- und Strukturdaten'!$E$30*'Erkrankungs- und Strukturdaten'!$F$30)+(I149/'Erkrankungs- und Strukturdaten'!$C$29*'Erkrankungs- und Strukturdaten'!$G$30)</f>
        <v>0</v>
      </c>
      <c r="AB149" s="2">
        <f t="shared" si="6"/>
        <v>44426</v>
      </c>
    </row>
    <row r="150" spans="1:28" ht="15" x14ac:dyDescent="0.2">
      <c r="A150" s="42">
        <v>141</v>
      </c>
      <c r="B150" s="375" t="s">
        <v>204</v>
      </c>
      <c r="C150" s="78">
        <f t="shared" si="5"/>
        <v>44427</v>
      </c>
      <c r="D150" s="4">
        <f>SUMIF('Fallzahlen (Berechnung)'!D:D,"&lt;="&amp;Prognoseergebnis!C150,'Fallzahlen (Berechnung)'!E:E)-'Fallzahlen (Berechnung)'!$E$1</f>
        <v>698897.79656085023</v>
      </c>
      <c r="E150" s="116" t="e">
        <f>VLOOKUP(C150,'Fallzahlen (Berechnung)'!$D:$E,'Fallzahlen (Berechnung)'!$E$1,FALSE)</f>
        <v>#N/A</v>
      </c>
      <c r="G150" s="18">
        <v>141</v>
      </c>
      <c r="H150" s="4">
        <f>ROUND('Erkrankungs- und Strukturdaten'!$C$8*D150-IF(G150&gt;'Erkrankungs- und Strukturdaten'!$C$14,VLOOKUP(Prognoseergebnis!G150-ROUNDDOWN('Erkrankungs- und Strukturdaten'!$C$14,0),$A:$D,$D$6,FALSE)*'Erkrankungs- und Strukturdaten'!$C$8,0)
+IF(G150&gt;'Erkrankungs- und Strukturdaten'!$C$15,VLOOKUP(Prognoseergebnis!G150-ROUNDDOWN('Erkrankungs- und Strukturdaten'!$C$15,0),A:D,$D$6,FALSE)*'Erkrankungs- und Strukturdaten'!$C$9,0)
-IF(G150&gt;'Erkrankungs- und Strukturdaten'!$C$15+'Erkrankungs- und Strukturdaten'!$C$16,VLOOKUP(Prognoseergebnis!G150-ROUNDDOWN('Erkrankungs- und Strukturdaten'!$C$15-'Erkrankungs- und Strukturdaten'!$C$16,0),A:D,$D$6,FALSE)*'Erkrankungs- und Strukturdaten'!$C$9,0),0)</f>
        <v>0</v>
      </c>
      <c r="I150" s="4">
        <f>ROUND('Erkrankungs- und Strukturdaten'!$C$9*D150-IF(G150&gt;'Erkrankungs- und Strukturdaten'!$C$15,VLOOKUP(Prognoseergebnis!G150-'Erkrankungs- und Strukturdaten'!$C$15,$A:$D,$D$6,FALSE)*'Erkrankungs- und Strukturdaten'!$C$9,0),0)</f>
        <v>0</v>
      </c>
      <c r="J150" s="4">
        <f>I150*'Erkrankungs- und Strukturdaten'!$C$10/'Erkrankungs- und Strukturdaten'!$C$9</f>
        <v>0</v>
      </c>
      <c r="K150" s="4">
        <f>I150*'Erkrankungs- und Strukturdaten'!$C$21</f>
        <v>0</v>
      </c>
      <c r="L150" s="11"/>
      <c r="M150" s="82">
        <f>SUM($K$66:K150)</f>
        <v>53620</v>
      </c>
      <c r="N150" s="9"/>
      <c r="O150" s="4">
        <f>IF(AND(((H150/'Erkrankungs- und Strukturdaten'!$C$25)*'Erkrankungs- und Strukturdaten'!$E$27)+(H150/'Erkrankungs- und Strukturdaten'!$C$26)&lt;1,((H150/'Erkrankungs- und Strukturdaten'!$C$25)*'Erkrankungs- und Strukturdaten'!$E$27)+(H150/'Erkrankungs- und Strukturdaten'!$C$26)&gt;0),1,((H150/'Erkrankungs- und Strukturdaten'!$C$25)*'Erkrankungs- und Strukturdaten'!$E$27)+(H150/'Erkrankungs- und Strukturdaten'!$C$26))</f>
        <v>0</v>
      </c>
      <c r="P150" s="4">
        <f>ROUNDUP(((I150/'Erkrankungs- und Strukturdaten'!$C$28)*'Erkrankungs- und Strukturdaten'!$E$30)+(I150/'Erkrankungs- und Strukturdaten'!$C$29),0)</f>
        <v>0</v>
      </c>
      <c r="Q150" s="4">
        <f>ROUNDUP((H150/'Erkrankungs- und Strukturdaten'!$C$34*'Erkrankungs- und Strukturdaten'!$E$36)+(H150/'Erkrankungs- und Strukturdaten'!$C$35),0)</f>
        <v>0</v>
      </c>
      <c r="R150" s="4">
        <f>ROUNDUP((I150*'Erkrankungs- und Strukturdaten'!$C$40/'Erkrankungs- und Strukturdaten'!$C$38*'Erkrankungs- und Strukturdaten'!$E$39)+(I150*(1-'Erkrankungs- und Strukturdaten'!$C$40)/'Erkrankungs- und Strukturdaten'!$C$37*'Erkrankungs- und Strukturdaten'!$E$39),0)</f>
        <v>0</v>
      </c>
      <c r="S150" s="52"/>
      <c r="U150" s="44">
        <f>((H150/'Erkrankungs- und Strukturdaten'!$C$25)*'Erkrankungs- und Strukturdaten'!$E$27*'Erkrankungs- und Strukturdaten'!$F$27)+(H150/'Erkrankungs- und Strukturdaten'!$C$26*'Erkrankungs- und Strukturdaten'!$G$27)</f>
        <v>0</v>
      </c>
      <c r="V150" s="44">
        <f>(I150/'Erkrankungs- und Strukturdaten'!$C$28*'Erkrankungs- und Strukturdaten'!$E$30*'Erkrankungs- und Strukturdaten'!$F$30)+(I150/'Erkrankungs- und Strukturdaten'!$C$29*'Erkrankungs- und Strukturdaten'!$G$30)</f>
        <v>0</v>
      </c>
      <c r="AB150" s="2">
        <f t="shared" si="6"/>
        <v>44427</v>
      </c>
    </row>
    <row r="151" spans="1:28" ht="15" x14ac:dyDescent="0.2">
      <c r="A151" s="42">
        <v>142</v>
      </c>
      <c r="B151" s="375"/>
      <c r="C151" s="27">
        <f t="shared" si="5"/>
        <v>44428</v>
      </c>
      <c r="D151" s="6">
        <f>SUMIF('Fallzahlen (Berechnung)'!D:D,"&lt;="&amp;Prognoseergebnis!C151,'Fallzahlen (Berechnung)'!E:E)-'Fallzahlen (Berechnung)'!$E$1</f>
        <v>698897.79656085023</v>
      </c>
      <c r="E151" s="114" t="e">
        <f>VLOOKUP(C151,'Fallzahlen (Berechnung)'!$D:$E,'Fallzahlen (Berechnung)'!$E$1,FALSE)</f>
        <v>#N/A</v>
      </c>
      <c r="G151" s="18">
        <v>142</v>
      </c>
      <c r="H151" s="6">
        <f>ROUND('Erkrankungs- und Strukturdaten'!$C$8*D151-IF(G151&gt;'Erkrankungs- und Strukturdaten'!$C$14,VLOOKUP(Prognoseergebnis!G151-ROUNDDOWN('Erkrankungs- und Strukturdaten'!$C$14,0),$A:$D,$D$6,FALSE)*'Erkrankungs- und Strukturdaten'!$C$8,0)
+IF(G151&gt;'Erkrankungs- und Strukturdaten'!$C$15,VLOOKUP(Prognoseergebnis!G151-ROUNDDOWN('Erkrankungs- und Strukturdaten'!$C$15,0),A:D,$D$6,FALSE)*'Erkrankungs- und Strukturdaten'!$C$9,0)
-IF(G151&gt;'Erkrankungs- und Strukturdaten'!$C$15+'Erkrankungs- und Strukturdaten'!$C$16,VLOOKUP(Prognoseergebnis!G151-ROUNDDOWN('Erkrankungs- und Strukturdaten'!$C$15-'Erkrankungs- und Strukturdaten'!$C$16,0),A:D,$D$6,FALSE)*'Erkrankungs- und Strukturdaten'!$C$9,0),0)</f>
        <v>0</v>
      </c>
      <c r="I151" s="6">
        <f>ROUND('Erkrankungs- und Strukturdaten'!$C$9*D151-IF(G151&gt;'Erkrankungs- und Strukturdaten'!$C$15,VLOOKUP(Prognoseergebnis!G151-'Erkrankungs- und Strukturdaten'!$C$15,$A:$D,$D$6,FALSE)*'Erkrankungs- und Strukturdaten'!$C$9,0),0)</f>
        <v>0</v>
      </c>
      <c r="J151" s="6">
        <f>I151*'Erkrankungs- und Strukturdaten'!$C$10/'Erkrankungs- und Strukturdaten'!$C$9</f>
        <v>0</v>
      </c>
      <c r="K151" s="6">
        <f>I151*'Erkrankungs- und Strukturdaten'!$C$21</f>
        <v>0</v>
      </c>
      <c r="L151" s="11"/>
      <c r="M151" s="82">
        <f>SUM($K$66:K151)</f>
        <v>53620</v>
      </c>
      <c r="N151" s="9"/>
      <c r="O151" s="6">
        <f>IF(AND(((H151/'Erkrankungs- und Strukturdaten'!$C$25)*'Erkrankungs- und Strukturdaten'!$E$27)+(H151/'Erkrankungs- und Strukturdaten'!$C$26)&lt;1,((H151/'Erkrankungs- und Strukturdaten'!$C$25)*'Erkrankungs- und Strukturdaten'!$E$27)+(H151/'Erkrankungs- und Strukturdaten'!$C$26)&gt;0),1,((H151/'Erkrankungs- und Strukturdaten'!$C$25)*'Erkrankungs- und Strukturdaten'!$E$27)+(H151/'Erkrankungs- und Strukturdaten'!$C$26))</f>
        <v>0</v>
      </c>
      <c r="P151" s="6">
        <f>ROUNDUP(((I151/'Erkrankungs- und Strukturdaten'!$C$28)*'Erkrankungs- und Strukturdaten'!$E$30)+(I151/'Erkrankungs- und Strukturdaten'!$C$29),0)</f>
        <v>0</v>
      </c>
      <c r="Q151" s="6">
        <f>ROUNDUP((H151/'Erkrankungs- und Strukturdaten'!$C$34*'Erkrankungs- und Strukturdaten'!$E$36)+(H151/'Erkrankungs- und Strukturdaten'!$C$35),0)</f>
        <v>0</v>
      </c>
      <c r="R151" s="6">
        <f>ROUNDUP((I151*'Erkrankungs- und Strukturdaten'!$C$40/'Erkrankungs- und Strukturdaten'!$C$38*'Erkrankungs- und Strukturdaten'!$E$39)+(I151*(1-'Erkrankungs- und Strukturdaten'!$C$40)/'Erkrankungs- und Strukturdaten'!$C$37*'Erkrankungs- und Strukturdaten'!$E$39),0)</f>
        <v>0</v>
      </c>
      <c r="S151" s="52"/>
      <c r="U151" s="44">
        <f>((H151/'Erkrankungs- und Strukturdaten'!$C$25)*'Erkrankungs- und Strukturdaten'!$E$27*'Erkrankungs- und Strukturdaten'!$F$27)+(H151/'Erkrankungs- und Strukturdaten'!$C$26*'Erkrankungs- und Strukturdaten'!$G$27)</f>
        <v>0</v>
      </c>
      <c r="V151" s="44">
        <f>(I151/'Erkrankungs- und Strukturdaten'!$C$28*'Erkrankungs- und Strukturdaten'!$E$30*'Erkrankungs- und Strukturdaten'!$F$30)+(I151/'Erkrankungs- und Strukturdaten'!$C$29*'Erkrankungs- und Strukturdaten'!$G$30)</f>
        <v>0</v>
      </c>
      <c r="AB151" s="2">
        <f t="shared" si="6"/>
        <v>44428</v>
      </c>
    </row>
    <row r="152" spans="1:28" ht="15" x14ac:dyDescent="0.2">
      <c r="A152" s="42">
        <v>143</v>
      </c>
      <c r="B152" s="375"/>
      <c r="C152" s="28">
        <f t="shared" si="5"/>
        <v>44429</v>
      </c>
      <c r="D152" s="5">
        <f>SUMIF('Fallzahlen (Berechnung)'!D:D,"&lt;="&amp;Prognoseergebnis!C152,'Fallzahlen (Berechnung)'!E:E)-'Fallzahlen (Berechnung)'!$E$1</f>
        <v>698897.79656085023</v>
      </c>
      <c r="E152" s="115" t="e">
        <f>VLOOKUP(C152,'Fallzahlen (Berechnung)'!$D:$E,'Fallzahlen (Berechnung)'!$E$1,FALSE)</f>
        <v>#N/A</v>
      </c>
      <c r="G152" s="18">
        <v>143</v>
      </c>
      <c r="H152" s="5">
        <f>ROUND('Erkrankungs- und Strukturdaten'!$C$8*D152-IF(G152&gt;'Erkrankungs- und Strukturdaten'!$C$14,VLOOKUP(Prognoseergebnis!G152-ROUNDDOWN('Erkrankungs- und Strukturdaten'!$C$14,0),$A:$D,$D$6,FALSE)*'Erkrankungs- und Strukturdaten'!$C$8,0)
+IF(G152&gt;'Erkrankungs- und Strukturdaten'!$C$15,VLOOKUP(Prognoseergebnis!G152-ROUNDDOWN('Erkrankungs- und Strukturdaten'!$C$15,0),A:D,$D$6,FALSE)*'Erkrankungs- und Strukturdaten'!$C$9,0)
-IF(G152&gt;'Erkrankungs- und Strukturdaten'!$C$15+'Erkrankungs- und Strukturdaten'!$C$16,VLOOKUP(Prognoseergebnis!G152-ROUNDDOWN('Erkrankungs- und Strukturdaten'!$C$15-'Erkrankungs- und Strukturdaten'!$C$16,0),A:D,$D$6,FALSE)*'Erkrankungs- und Strukturdaten'!$C$9,0),0)</f>
        <v>0</v>
      </c>
      <c r="I152" s="5">
        <f>ROUND('Erkrankungs- und Strukturdaten'!$C$9*D152-IF(G152&gt;'Erkrankungs- und Strukturdaten'!$C$15,VLOOKUP(Prognoseergebnis!G152-'Erkrankungs- und Strukturdaten'!$C$15,$A:$D,$D$6,FALSE)*'Erkrankungs- und Strukturdaten'!$C$9,0),0)</f>
        <v>0</v>
      </c>
      <c r="J152" s="5">
        <f>I152*'Erkrankungs- und Strukturdaten'!$C$10/'Erkrankungs- und Strukturdaten'!$C$9</f>
        <v>0</v>
      </c>
      <c r="K152" s="5">
        <f>I152*'Erkrankungs- und Strukturdaten'!$C$21</f>
        <v>0</v>
      </c>
      <c r="L152" s="11"/>
      <c r="M152" s="82">
        <f>SUM($K$66:K152)</f>
        <v>53620</v>
      </c>
      <c r="N152" s="9"/>
      <c r="O152" s="5">
        <f>IF(AND(((H152/'Erkrankungs- und Strukturdaten'!$C$25)*'Erkrankungs- und Strukturdaten'!$E$27)+(H152/'Erkrankungs- und Strukturdaten'!$C$26)&lt;1,((H152/'Erkrankungs- und Strukturdaten'!$C$25)*'Erkrankungs- und Strukturdaten'!$E$27)+(H152/'Erkrankungs- und Strukturdaten'!$C$26)&gt;0),1,((H152/'Erkrankungs- und Strukturdaten'!$C$25)*'Erkrankungs- und Strukturdaten'!$E$27)+(H152/'Erkrankungs- und Strukturdaten'!$C$26))</f>
        <v>0</v>
      </c>
      <c r="P152" s="5">
        <f>ROUNDUP(((I152/'Erkrankungs- und Strukturdaten'!$C$28)*'Erkrankungs- und Strukturdaten'!$E$30)+(I152/'Erkrankungs- und Strukturdaten'!$C$29),0)</f>
        <v>0</v>
      </c>
      <c r="Q152" s="5">
        <f>ROUNDUP((H152/'Erkrankungs- und Strukturdaten'!$C$34*'Erkrankungs- und Strukturdaten'!$E$36)+(H152/'Erkrankungs- und Strukturdaten'!$C$35),0)</f>
        <v>0</v>
      </c>
      <c r="R152" s="5">
        <f>ROUNDUP((I152*'Erkrankungs- und Strukturdaten'!$C$40/'Erkrankungs- und Strukturdaten'!$C$38*'Erkrankungs- und Strukturdaten'!$E$39)+(I152*(1-'Erkrankungs- und Strukturdaten'!$C$40)/'Erkrankungs- und Strukturdaten'!$C$37*'Erkrankungs- und Strukturdaten'!$E$39),0)</f>
        <v>0</v>
      </c>
      <c r="S152" s="52"/>
      <c r="U152" s="44">
        <f>((H152/'Erkrankungs- und Strukturdaten'!$C$25)*'Erkrankungs- und Strukturdaten'!$E$27*'Erkrankungs- und Strukturdaten'!$F$27)+(H152/'Erkrankungs- und Strukturdaten'!$C$26*'Erkrankungs- und Strukturdaten'!$G$27)</f>
        <v>0</v>
      </c>
      <c r="V152" s="44">
        <f>(I152/'Erkrankungs- und Strukturdaten'!$C$28*'Erkrankungs- und Strukturdaten'!$E$30*'Erkrankungs- und Strukturdaten'!$F$30)+(I152/'Erkrankungs- und Strukturdaten'!$C$29*'Erkrankungs- und Strukturdaten'!$G$30)</f>
        <v>0</v>
      </c>
      <c r="AB152" s="2">
        <f t="shared" si="6"/>
        <v>44429</v>
      </c>
    </row>
    <row r="153" spans="1:28" ht="15" x14ac:dyDescent="0.2">
      <c r="A153" s="42">
        <v>144</v>
      </c>
      <c r="B153" s="375"/>
      <c r="C153" s="27">
        <f t="shared" si="5"/>
        <v>44430</v>
      </c>
      <c r="D153" s="6">
        <f>SUMIF('Fallzahlen (Berechnung)'!D:D,"&lt;="&amp;Prognoseergebnis!C153,'Fallzahlen (Berechnung)'!E:E)-'Fallzahlen (Berechnung)'!$E$1</f>
        <v>698897.79656085023</v>
      </c>
      <c r="E153" s="114" t="e">
        <f>VLOOKUP(C153,'Fallzahlen (Berechnung)'!$D:$E,'Fallzahlen (Berechnung)'!$E$1,FALSE)</f>
        <v>#N/A</v>
      </c>
      <c r="G153" s="18">
        <v>144</v>
      </c>
      <c r="H153" s="6">
        <f>ROUND('Erkrankungs- und Strukturdaten'!$C$8*D153-IF(G153&gt;'Erkrankungs- und Strukturdaten'!$C$14,VLOOKUP(Prognoseergebnis!G153-ROUNDDOWN('Erkrankungs- und Strukturdaten'!$C$14,0),$A:$D,$D$6,FALSE)*'Erkrankungs- und Strukturdaten'!$C$8,0)
+IF(G153&gt;'Erkrankungs- und Strukturdaten'!$C$15,VLOOKUP(Prognoseergebnis!G153-ROUNDDOWN('Erkrankungs- und Strukturdaten'!$C$15,0),A:D,$D$6,FALSE)*'Erkrankungs- und Strukturdaten'!$C$9,0)
-IF(G153&gt;'Erkrankungs- und Strukturdaten'!$C$15+'Erkrankungs- und Strukturdaten'!$C$16,VLOOKUP(Prognoseergebnis!G153-ROUNDDOWN('Erkrankungs- und Strukturdaten'!$C$15-'Erkrankungs- und Strukturdaten'!$C$16,0),A:D,$D$6,FALSE)*'Erkrankungs- und Strukturdaten'!$C$9,0),0)</f>
        <v>0</v>
      </c>
      <c r="I153" s="6">
        <f>ROUND('Erkrankungs- und Strukturdaten'!$C$9*D153-IF(G153&gt;'Erkrankungs- und Strukturdaten'!$C$15,VLOOKUP(Prognoseergebnis!G153-'Erkrankungs- und Strukturdaten'!$C$15,$A:$D,$D$6,FALSE)*'Erkrankungs- und Strukturdaten'!$C$9,0),0)</f>
        <v>0</v>
      </c>
      <c r="J153" s="6">
        <f>I153*'Erkrankungs- und Strukturdaten'!$C$10/'Erkrankungs- und Strukturdaten'!$C$9</f>
        <v>0</v>
      </c>
      <c r="K153" s="6">
        <f>I153*'Erkrankungs- und Strukturdaten'!$C$21</f>
        <v>0</v>
      </c>
      <c r="L153" s="11"/>
      <c r="M153" s="82">
        <f>SUM($K$66:K153)</f>
        <v>53620</v>
      </c>
      <c r="N153" s="9"/>
      <c r="O153" s="6">
        <f>IF(AND(((H153/'Erkrankungs- und Strukturdaten'!$C$25)*'Erkrankungs- und Strukturdaten'!$E$27)+(H153/'Erkrankungs- und Strukturdaten'!$C$26)&lt;1,((H153/'Erkrankungs- und Strukturdaten'!$C$25)*'Erkrankungs- und Strukturdaten'!$E$27)+(H153/'Erkrankungs- und Strukturdaten'!$C$26)&gt;0),1,((H153/'Erkrankungs- und Strukturdaten'!$C$25)*'Erkrankungs- und Strukturdaten'!$E$27)+(H153/'Erkrankungs- und Strukturdaten'!$C$26))</f>
        <v>0</v>
      </c>
      <c r="P153" s="6">
        <f>ROUNDUP(((I153/'Erkrankungs- und Strukturdaten'!$C$28)*'Erkrankungs- und Strukturdaten'!$E$30)+(I153/'Erkrankungs- und Strukturdaten'!$C$29),0)</f>
        <v>0</v>
      </c>
      <c r="Q153" s="6">
        <f>ROUNDUP((H153/'Erkrankungs- und Strukturdaten'!$C$34*'Erkrankungs- und Strukturdaten'!$E$36)+(H153/'Erkrankungs- und Strukturdaten'!$C$35),0)</f>
        <v>0</v>
      </c>
      <c r="R153" s="6">
        <f>ROUNDUP((I153*'Erkrankungs- und Strukturdaten'!$C$40/'Erkrankungs- und Strukturdaten'!$C$38*'Erkrankungs- und Strukturdaten'!$E$39)+(I153*(1-'Erkrankungs- und Strukturdaten'!$C$40)/'Erkrankungs- und Strukturdaten'!$C$37*'Erkrankungs- und Strukturdaten'!$E$39),0)</f>
        <v>0</v>
      </c>
      <c r="S153" s="52"/>
      <c r="U153" s="44">
        <f>((H153/'Erkrankungs- und Strukturdaten'!$C$25)*'Erkrankungs- und Strukturdaten'!$E$27*'Erkrankungs- und Strukturdaten'!$F$27)+(H153/'Erkrankungs- und Strukturdaten'!$C$26*'Erkrankungs- und Strukturdaten'!$G$27)</f>
        <v>0</v>
      </c>
      <c r="V153" s="44">
        <f>(I153/'Erkrankungs- und Strukturdaten'!$C$28*'Erkrankungs- und Strukturdaten'!$E$30*'Erkrankungs- und Strukturdaten'!$F$30)+(I153/'Erkrankungs- und Strukturdaten'!$C$29*'Erkrankungs- und Strukturdaten'!$G$30)</f>
        <v>0</v>
      </c>
      <c r="AB153" s="2">
        <f t="shared" si="6"/>
        <v>44430</v>
      </c>
    </row>
    <row r="154" spans="1:28" ht="15" x14ac:dyDescent="0.2">
      <c r="A154" s="42">
        <v>145</v>
      </c>
      <c r="B154" s="375"/>
      <c r="C154" s="28">
        <f t="shared" si="5"/>
        <v>44431</v>
      </c>
      <c r="D154" s="5">
        <f>SUMIF('Fallzahlen (Berechnung)'!D:D,"&lt;="&amp;Prognoseergebnis!C154,'Fallzahlen (Berechnung)'!E:E)-'Fallzahlen (Berechnung)'!$E$1</f>
        <v>698897.79656085023</v>
      </c>
      <c r="E154" s="115" t="e">
        <f>VLOOKUP(C154,'Fallzahlen (Berechnung)'!$D:$E,'Fallzahlen (Berechnung)'!$E$1,FALSE)</f>
        <v>#N/A</v>
      </c>
      <c r="G154" s="18">
        <v>145</v>
      </c>
      <c r="H154" s="5">
        <f>ROUND('Erkrankungs- und Strukturdaten'!$C$8*D154-IF(G154&gt;'Erkrankungs- und Strukturdaten'!$C$14,VLOOKUP(Prognoseergebnis!G154-ROUNDDOWN('Erkrankungs- und Strukturdaten'!$C$14,0),$A:$D,$D$6,FALSE)*'Erkrankungs- und Strukturdaten'!$C$8,0)
+IF(G154&gt;'Erkrankungs- und Strukturdaten'!$C$15,VLOOKUP(Prognoseergebnis!G154-ROUNDDOWN('Erkrankungs- und Strukturdaten'!$C$15,0),A:D,$D$6,FALSE)*'Erkrankungs- und Strukturdaten'!$C$9,0)
-IF(G154&gt;'Erkrankungs- und Strukturdaten'!$C$15+'Erkrankungs- und Strukturdaten'!$C$16,VLOOKUP(Prognoseergebnis!G154-ROUNDDOWN('Erkrankungs- und Strukturdaten'!$C$15-'Erkrankungs- und Strukturdaten'!$C$16,0),A:D,$D$6,FALSE)*'Erkrankungs- und Strukturdaten'!$C$9,0),0)</f>
        <v>0</v>
      </c>
      <c r="I154" s="5">
        <f>ROUND('Erkrankungs- und Strukturdaten'!$C$9*D154-IF(G154&gt;'Erkrankungs- und Strukturdaten'!$C$15,VLOOKUP(Prognoseergebnis!G154-'Erkrankungs- und Strukturdaten'!$C$15,$A:$D,$D$6,FALSE)*'Erkrankungs- und Strukturdaten'!$C$9,0),0)</f>
        <v>0</v>
      </c>
      <c r="J154" s="5">
        <f>I154*'Erkrankungs- und Strukturdaten'!$C$10/'Erkrankungs- und Strukturdaten'!$C$9</f>
        <v>0</v>
      </c>
      <c r="K154" s="5">
        <f>I154*'Erkrankungs- und Strukturdaten'!$C$21</f>
        <v>0</v>
      </c>
      <c r="L154" s="11"/>
      <c r="M154" s="82">
        <f>SUM($K$66:K154)</f>
        <v>53620</v>
      </c>
      <c r="N154" s="9"/>
      <c r="O154" s="5">
        <f>IF(AND(((H154/'Erkrankungs- und Strukturdaten'!$C$25)*'Erkrankungs- und Strukturdaten'!$E$27)+(H154/'Erkrankungs- und Strukturdaten'!$C$26)&lt;1,((H154/'Erkrankungs- und Strukturdaten'!$C$25)*'Erkrankungs- und Strukturdaten'!$E$27)+(H154/'Erkrankungs- und Strukturdaten'!$C$26)&gt;0),1,((H154/'Erkrankungs- und Strukturdaten'!$C$25)*'Erkrankungs- und Strukturdaten'!$E$27)+(H154/'Erkrankungs- und Strukturdaten'!$C$26))</f>
        <v>0</v>
      </c>
      <c r="P154" s="5">
        <f>ROUNDUP(((I154/'Erkrankungs- und Strukturdaten'!$C$28)*'Erkrankungs- und Strukturdaten'!$E$30)+(I154/'Erkrankungs- und Strukturdaten'!$C$29),0)</f>
        <v>0</v>
      </c>
      <c r="Q154" s="5">
        <f>ROUNDUP((H154/'Erkrankungs- und Strukturdaten'!$C$34*'Erkrankungs- und Strukturdaten'!$E$36)+(H154/'Erkrankungs- und Strukturdaten'!$C$35),0)</f>
        <v>0</v>
      </c>
      <c r="R154" s="5">
        <f>ROUNDUP((I154*'Erkrankungs- und Strukturdaten'!$C$40/'Erkrankungs- und Strukturdaten'!$C$38*'Erkrankungs- und Strukturdaten'!$E$39)+(I154*(1-'Erkrankungs- und Strukturdaten'!$C$40)/'Erkrankungs- und Strukturdaten'!$C$37*'Erkrankungs- und Strukturdaten'!$E$39),0)</f>
        <v>0</v>
      </c>
      <c r="S154" s="52"/>
      <c r="U154" s="44">
        <f>((H154/'Erkrankungs- und Strukturdaten'!$C$25)*'Erkrankungs- und Strukturdaten'!$E$27*'Erkrankungs- und Strukturdaten'!$F$27)+(H154/'Erkrankungs- und Strukturdaten'!$C$26*'Erkrankungs- und Strukturdaten'!$G$27)</f>
        <v>0</v>
      </c>
      <c r="V154" s="44">
        <f>(I154/'Erkrankungs- und Strukturdaten'!$C$28*'Erkrankungs- und Strukturdaten'!$E$30*'Erkrankungs- und Strukturdaten'!$F$30)+(I154/'Erkrankungs- und Strukturdaten'!$C$29*'Erkrankungs- und Strukturdaten'!$G$30)</f>
        <v>0</v>
      </c>
      <c r="AB154" s="2">
        <f t="shared" si="6"/>
        <v>44431</v>
      </c>
    </row>
    <row r="155" spans="1:28" ht="15" x14ac:dyDescent="0.2">
      <c r="A155" s="42">
        <v>146</v>
      </c>
      <c r="B155" s="375"/>
      <c r="C155" s="27">
        <f t="shared" si="5"/>
        <v>44432</v>
      </c>
      <c r="D155" s="6">
        <f>SUMIF('Fallzahlen (Berechnung)'!D:D,"&lt;="&amp;Prognoseergebnis!C155,'Fallzahlen (Berechnung)'!E:E)-'Fallzahlen (Berechnung)'!$E$1</f>
        <v>698897.79656085023</v>
      </c>
      <c r="E155" s="114" t="e">
        <f>VLOOKUP(C155,'Fallzahlen (Berechnung)'!$D:$E,'Fallzahlen (Berechnung)'!$E$1,FALSE)</f>
        <v>#N/A</v>
      </c>
      <c r="G155" s="18">
        <v>146</v>
      </c>
      <c r="H155" s="6">
        <f>ROUND('Erkrankungs- und Strukturdaten'!$C$8*D155-IF(G155&gt;'Erkrankungs- und Strukturdaten'!$C$14,VLOOKUP(Prognoseergebnis!G155-ROUNDDOWN('Erkrankungs- und Strukturdaten'!$C$14,0),$A:$D,$D$6,FALSE)*'Erkrankungs- und Strukturdaten'!$C$8,0)
+IF(G155&gt;'Erkrankungs- und Strukturdaten'!$C$15,VLOOKUP(Prognoseergebnis!G155-ROUNDDOWN('Erkrankungs- und Strukturdaten'!$C$15,0),A:D,$D$6,FALSE)*'Erkrankungs- und Strukturdaten'!$C$9,0)
-IF(G155&gt;'Erkrankungs- und Strukturdaten'!$C$15+'Erkrankungs- und Strukturdaten'!$C$16,VLOOKUP(Prognoseergebnis!G155-ROUNDDOWN('Erkrankungs- und Strukturdaten'!$C$15-'Erkrankungs- und Strukturdaten'!$C$16,0),A:D,$D$6,FALSE)*'Erkrankungs- und Strukturdaten'!$C$9,0),0)</f>
        <v>0</v>
      </c>
      <c r="I155" s="6">
        <f>ROUND('Erkrankungs- und Strukturdaten'!$C$9*D155-IF(G155&gt;'Erkrankungs- und Strukturdaten'!$C$15,VLOOKUP(Prognoseergebnis!G155-'Erkrankungs- und Strukturdaten'!$C$15,$A:$D,$D$6,FALSE)*'Erkrankungs- und Strukturdaten'!$C$9,0),0)</f>
        <v>0</v>
      </c>
      <c r="J155" s="6">
        <f>I155*'Erkrankungs- und Strukturdaten'!$C$10/'Erkrankungs- und Strukturdaten'!$C$9</f>
        <v>0</v>
      </c>
      <c r="K155" s="6">
        <f>I155*'Erkrankungs- und Strukturdaten'!$C$21</f>
        <v>0</v>
      </c>
      <c r="L155" s="11"/>
      <c r="M155" s="82">
        <f>SUM($K$66:K155)</f>
        <v>53620</v>
      </c>
      <c r="N155" s="9"/>
      <c r="O155" s="6">
        <f>IF(AND(((H155/'Erkrankungs- und Strukturdaten'!$C$25)*'Erkrankungs- und Strukturdaten'!$E$27)+(H155/'Erkrankungs- und Strukturdaten'!$C$26)&lt;1,((H155/'Erkrankungs- und Strukturdaten'!$C$25)*'Erkrankungs- und Strukturdaten'!$E$27)+(H155/'Erkrankungs- und Strukturdaten'!$C$26)&gt;0),1,((H155/'Erkrankungs- und Strukturdaten'!$C$25)*'Erkrankungs- und Strukturdaten'!$E$27)+(H155/'Erkrankungs- und Strukturdaten'!$C$26))</f>
        <v>0</v>
      </c>
      <c r="P155" s="6">
        <f>ROUNDUP(((I155/'Erkrankungs- und Strukturdaten'!$C$28)*'Erkrankungs- und Strukturdaten'!$E$30)+(I155/'Erkrankungs- und Strukturdaten'!$C$29),0)</f>
        <v>0</v>
      </c>
      <c r="Q155" s="6">
        <f>ROUNDUP((H155/'Erkrankungs- und Strukturdaten'!$C$34*'Erkrankungs- und Strukturdaten'!$E$36)+(H155/'Erkrankungs- und Strukturdaten'!$C$35),0)</f>
        <v>0</v>
      </c>
      <c r="R155" s="6">
        <f>ROUNDUP((I155*'Erkrankungs- und Strukturdaten'!$C$40/'Erkrankungs- und Strukturdaten'!$C$38*'Erkrankungs- und Strukturdaten'!$E$39)+(I155*(1-'Erkrankungs- und Strukturdaten'!$C$40)/'Erkrankungs- und Strukturdaten'!$C$37*'Erkrankungs- und Strukturdaten'!$E$39),0)</f>
        <v>0</v>
      </c>
      <c r="S155" s="52"/>
      <c r="U155" s="44">
        <f>((H155/'Erkrankungs- und Strukturdaten'!$C$25)*'Erkrankungs- und Strukturdaten'!$E$27*'Erkrankungs- und Strukturdaten'!$F$27)+(H155/'Erkrankungs- und Strukturdaten'!$C$26*'Erkrankungs- und Strukturdaten'!$G$27)</f>
        <v>0</v>
      </c>
      <c r="V155" s="44">
        <f>(I155/'Erkrankungs- und Strukturdaten'!$C$28*'Erkrankungs- und Strukturdaten'!$E$30*'Erkrankungs- und Strukturdaten'!$F$30)+(I155/'Erkrankungs- und Strukturdaten'!$C$29*'Erkrankungs- und Strukturdaten'!$G$30)</f>
        <v>0</v>
      </c>
      <c r="AB155" s="2">
        <f t="shared" si="6"/>
        <v>44432</v>
      </c>
    </row>
    <row r="156" spans="1:28" ht="15" x14ac:dyDescent="0.2">
      <c r="A156" s="42">
        <v>147</v>
      </c>
      <c r="B156" s="375"/>
      <c r="C156" s="29">
        <f t="shared" si="5"/>
        <v>44433</v>
      </c>
      <c r="D156" s="30">
        <f>SUMIF('Fallzahlen (Berechnung)'!D:D,"&lt;="&amp;Prognoseergebnis!C156,'Fallzahlen (Berechnung)'!E:E)-'Fallzahlen (Berechnung)'!$E$1</f>
        <v>698897.79656085023</v>
      </c>
      <c r="E156" s="117" t="e">
        <f>VLOOKUP(C156,'Fallzahlen (Berechnung)'!$D:$E,'Fallzahlen (Berechnung)'!$E$1,FALSE)</f>
        <v>#N/A</v>
      </c>
      <c r="G156" s="18">
        <v>147</v>
      </c>
      <c r="H156" s="30">
        <f>ROUND('Erkrankungs- und Strukturdaten'!$C$8*D156-IF(G156&gt;'Erkrankungs- und Strukturdaten'!$C$14,VLOOKUP(Prognoseergebnis!G156-ROUNDDOWN('Erkrankungs- und Strukturdaten'!$C$14,0),$A:$D,$D$6,FALSE)*'Erkrankungs- und Strukturdaten'!$C$8,0)
+IF(G156&gt;'Erkrankungs- und Strukturdaten'!$C$15,VLOOKUP(Prognoseergebnis!G156-ROUNDDOWN('Erkrankungs- und Strukturdaten'!$C$15,0),A:D,$D$6,FALSE)*'Erkrankungs- und Strukturdaten'!$C$9,0)
-IF(G156&gt;'Erkrankungs- und Strukturdaten'!$C$15+'Erkrankungs- und Strukturdaten'!$C$16,VLOOKUP(Prognoseergebnis!G156-ROUNDDOWN('Erkrankungs- und Strukturdaten'!$C$15-'Erkrankungs- und Strukturdaten'!$C$16,0),A:D,$D$6,FALSE)*'Erkrankungs- und Strukturdaten'!$C$9,0),0)</f>
        <v>0</v>
      </c>
      <c r="I156" s="30">
        <f>ROUND('Erkrankungs- und Strukturdaten'!$C$9*D156-IF(G156&gt;'Erkrankungs- und Strukturdaten'!$C$15,VLOOKUP(Prognoseergebnis!G156-'Erkrankungs- und Strukturdaten'!$C$15,$A:$D,$D$6,FALSE)*'Erkrankungs- und Strukturdaten'!$C$9,0),0)</f>
        <v>0</v>
      </c>
      <c r="J156" s="30">
        <f>I156*'Erkrankungs- und Strukturdaten'!$C$10/'Erkrankungs- und Strukturdaten'!$C$9</f>
        <v>0</v>
      </c>
      <c r="K156" s="30">
        <f>I156*'Erkrankungs- und Strukturdaten'!$C$21</f>
        <v>0</v>
      </c>
      <c r="L156" s="11"/>
      <c r="M156" s="82">
        <f>SUM($K$66:K156)</f>
        <v>53620</v>
      </c>
      <c r="N156" s="9"/>
      <c r="O156" s="30">
        <f>IF(AND(((H156/'Erkrankungs- und Strukturdaten'!$C$25)*'Erkrankungs- und Strukturdaten'!$E$27)+(H156/'Erkrankungs- und Strukturdaten'!$C$26)&lt;1,((H156/'Erkrankungs- und Strukturdaten'!$C$25)*'Erkrankungs- und Strukturdaten'!$E$27)+(H156/'Erkrankungs- und Strukturdaten'!$C$26)&gt;0),1,((H156/'Erkrankungs- und Strukturdaten'!$C$25)*'Erkrankungs- und Strukturdaten'!$E$27)+(H156/'Erkrankungs- und Strukturdaten'!$C$26))</f>
        <v>0</v>
      </c>
      <c r="P156" s="30">
        <f>ROUNDUP(((I156/'Erkrankungs- und Strukturdaten'!$C$28)*'Erkrankungs- und Strukturdaten'!$E$30)+(I156/'Erkrankungs- und Strukturdaten'!$C$29),0)</f>
        <v>0</v>
      </c>
      <c r="Q156" s="30">
        <f>ROUNDUP((H156/'Erkrankungs- und Strukturdaten'!$C$34*'Erkrankungs- und Strukturdaten'!$E$36)+(H156/'Erkrankungs- und Strukturdaten'!$C$35),0)</f>
        <v>0</v>
      </c>
      <c r="R156" s="30">
        <f>ROUNDUP((I156*'Erkrankungs- und Strukturdaten'!$C$40/'Erkrankungs- und Strukturdaten'!$C$38*'Erkrankungs- und Strukturdaten'!$E$39)+(I156*(1-'Erkrankungs- und Strukturdaten'!$C$40)/'Erkrankungs- und Strukturdaten'!$C$37*'Erkrankungs- und Strukturdaten'!$E$39),0)</f>
        <v>0</v>
      </c>
      <c r="S156" s="52"/>
      <c r="U156" s="44">
        <f>((H156/'Erkrankungs- und Strukturdaten'!$C$25)*'Erkrankungs- und Strukturdaten'!$E$27*'Erkrankungs- und Strukturdaten'!$F$27)+(H156/'Erkrankungs- und Strukturdaten'!$C$26*'Erkrankungs- und Strukturdaten'!$G$27)</f>
        <v>0</v>
      </c>
      <c r="V156" s="44">
        <f>(I156/'Erkrankungs- und Strukturdaten'!$C$28*'Erkrankungs- und Strukturdaten'!$E$30*'Erkrankungs- und Strukturdaten'!$F$30)+(I156/'Erkrankungs- und Strukturdaten'!$C$29*'Erkrankungs- und Strukturdaten'!$G$30)</f>
        <v>0</v>
      </c>
      <c r="AB156" s="2">
        <f t="shared" si="6"/>
        <v>44433</v>
      </c>
    </row>
    <row r="157" spans="1:28" ht="15" x14ac:dyDescent="0.2">
      <c r="A157" s="42">
        <v>148</v>
      </c>
      <c r="B157" s="373" t="s">
        <v>205</v>
      </c>
      <c r="C157" s="76">
        <f t="shared" si="5"/>
        <v>44434</v>
      </c>
      <c r="D157" s="77">
        <f>SUMIF('Fallzahlen (Berechnung)'!D:D,"&lt;="&amp;Prognoseergebnis!C157,'Fallzahlen (Berechnung)'!E:E)-'Fallzahlen (Berechnung)'!$E$1</f>
        <v>698897.79656085023</v>
      </c>
      <c r="E157" s="118" t="e">
        <f>VLOOKUP(C157,'Fallzahlen (Berechnung)'!$D:$E,'Fallzahlen (Berechnung)'!$E$1,FALSE)</f>
        <v>#N/A</v>
      </c>
      <c r="G157" s="18">
        <v>148</v>
      </c>
      <c r="H157" s="77">
        <f>ROUND('Erkrankungs- und Strukturdaten'!$C$8*D157-IF(G157&gt;'Erkrankungs- und Strukturdaten'!$C$14,VLOOKUP(Prognoseergebnis!G157-ROUNDDOWN('Erkrankungs- und Strukturdaten'!$C$14,0),$A:$D,$D$6,FALSE)*'Erkrankungs- und Strukturdaten'!$C$8,0)
+IF(G157&gt;'Erkrankungs- und Strukturdaten'!$C$15,VLOOKUP(Prognoseergebnis!G157-ROUNDDOWN('Erkrankungs- und Strukturdaten'!$C$15,0),A:D,$D$6,FALSE)*'Erkrankungs- und Strukturdaten'!$C$9,0)
-IF(G157&gt;'Erkrankungs- und Strukturdaten'!$C$15+'Erkrankungs- und Strukturdaten'!$C$16,VLOOKUP(Prognoseergebnis!G157-ROUNDDOWN('Erkrankungs- und Strukturdaten'!$C$15-'Erkrankungs- und Strukturdaten'!$C$16,0),A:D,$D$6,FALSE)*'Erkrankungs- und Strukturdaten'!$C$9,0),0)</f>
        <v>0</v>
      </c>
      <c r="I157" s="77">
        <f>ROUND('Erkrankungs- und Strukturdaten'!$C$9*D157-IF(G157&gt;'Erkrankungs- und Strukturdaten'!$C$15,VLOOKUP(Prognoseergebnis!G157-'Erkrankungs- und Strukturdaten'!$C$15,$A:$D,$D$6,FALSE)*'Erkrankungs- und Strukturdaten'!$C$9,0),0)</f>
        <v>0</v>
      </c>
      <c r="J157" s="77">
        <f>I157*'Erkrankungs- und Strukturdaten'!$C$10/'Erkrankungs- und Strukturdaten'!$C$9</f>
        <v>0</v>
      </c>
      <c r="K157" s="77">
        <f>I157*'Erkrankungs- und Strukturdaten'!$C$21</f>
        <v>0</v>
      </c>
      <c r="L157" s="11"/>
      <c r="M157" s="82">
        <f>SUM($K$66:K157)</f>
        <v>53620</v>
      </c>
      <c r="N157" s="9"/>
      <c r="O157" s="77">
        <f>IF(AND(((H157/'Erkrankungs- und Strukturdaten'!$C$25)*'Erkrankungs- und Strukturdaten'!$E$27)+(H157/'Erkrankungs- und Strukturdaten'!$C$26)&lt;1,((H157/'Erkrankungs- und Strukturdaten'!$C$25)*'Erkrankungs- und Strukturdaten'!$E$27)+(H157/'Erkrankungs- und Strukturdaten'!$C$26)&gt;0),1,((H157/'Erkrankungs- und Strukturdaten'!$C$25)*'Erkrankungs- und Strukturdaten'!$E$27)+(H157/'Erkrankungs- und Strukturdaten'!$C$26))</f>
        <v>0</v>
      </c>
      <c r="P157" s="77">
        <f>ROUNDUP(((I157/'Erkrankungs- und Strukturdaten'!$C$28)*'Erkrankungs- und Strukturdaten'!$E$30)+(I157/'Erkrankungs- und Strukturdaten'!$C$29),0)</f>
        <v>0</v>
      </c>
      <c r="Q157" s="77">
        <f>ROUNDUP((H157/'Erkrankungs- und Strukturdaten'!$C$34*'Erkrankungs- und Strukturdaten'!$E$36)+(H157/'Erkrankungs- und Strukturdaten'!$C$35),0)</f>
        <v>0</v>
      </c>
      <c r="R157" s="77">
        <f>ROUNDUP((I157*'Erkrankungs- und Strukturdaten'!$C$40/'Erkrankungs- und Strukturdaten'!$C$38*'Erkrankungs- und Strukturdaten'!$E$39)+(I157*(1-'Erkrankungs- und Strukturdaten'!$C$40)/'Erkrankungs- und Strukturdaten'!$C$37*'Erkrankungs- und Strukturdaten'!$E$39),0)</f>
        <v>0</v>
      </c>
      <c r="S157" s="52"/>
      <c r="U157" s="44">
        <f>((H157/'Erkrankungs- und Strukturdaten'!$C$25)*'Erkrankungs- und Strukturdaten'!$E$27*'Erkrankungs- und Strukturdaten'!$F$27)+(H157/'Erkrankungs- und Strukturdaten'!$C$26*'Erkrankungs- und Strukturdaten'!$G$27)</f>
        <v>0</v>
      </c>
      <c r="V157" s="44">
        <f>(I157/'Erkrankungs- und Strukturdaten'!$C$28*'Erkrankungs- und Strukturdaten'!$E$30*'Erkrankungs- und Strukturdaten'!$F$30)+(I157/'Erkrankungs- und Strukturdaten'!$C$29*'Erkrankungs- und Strukturdaten'!$G$30)</f>
        <v>0</v>
      </c>
      <c r="AB157" s="2">
        <f t="shared" si="6"/>
        <v>44434</v>
      </c>
    </row>
    <row r="158" spans="1:28" ht="15" x14ac:dyDescent="0.2">
      <c r="A158" s="42">
        <v>149</v>
      </c>
      <c r="B158" s="373"/>
      <c r="C158" s="28">
        <f t="shared" si="5"/>
        <v>44435</v>
      </c>
      <c r="D158" s="5">
        <f>SUMIF('Fallzahlen (Berechnung)'!D:D,"&lt;="&amp;Prognoseergebnis!C158,'Fallzahlen (Berechnung)'!E:E)-'Fallzahlen (Berechnung)'!$E$1</f>
        <v>698897.79656085023</v>
      </c>
      <c r="E158" s="115" t="e">
        <f>VLOOKUP(C158,'Fallzahlen (Berechnung)'!$D:$E,'Fallzahlen (Berechnung)'!$E$1,FALSE)</f>
        <v>#N/A</v>
      </c>
      <c r="G158" s="18">
        <v>149</v>
      </c>
      <c r="H158" s="5">
        <f>ROUND('Erkrankungs- und Strukturdaten'!$C$8*D158-IF(G158&gt;'Erkrankungs- und Strukturdaten'!$C$14,VLOOKUP(Prognoseergebnis!G158-ROUNDDOWN('Erkrankungs- und Strukturdaten'!$C$14,0),$A:$D,$D$6,FALSE)*'Erkrankungs- und Strukturdaten'!$C$8,0)
+IF(G158&gt;'Erkrankungs- und Strukturdaten'!$C$15,VLOOKUP(Prognoseergebnis!G158-ROUNDDOWN('Erkrankungs- und Strukturdaten'!$C$15,0),A:D,$D$6,FALSE)*'Erkrankungs- und Strukturdaten'!$C$9,0)
-IF(G158&gt;'Erkrankungs- und Strukturdaten'!$C$15+'Erkrankungs- und Strukturdaten'!$C$16,VLOOKUP(Prognoseergebnis!G158-ROUNDDOWN('Erkrankungs- und Strukturdaten'!$C$15-'Erkrankungs- und Strukturdaten'!$C$16,0),A:D,$D$6,FALSE)*'Erkrankungs- und Strukturdaten'!$C$9,0),0)</f>
        <v>0</v>
      </c>
      <c r="I158" s="5">
        <f>ROUND('Erkrankungs- und Strukturdaten'!$C$9*D158-IF(G158&gt;'Erkrankungs- und Strukturdaten'!$C$15,VLOOKUP(Prognoseergebnis!G158-'Erkrankungs- und Strukturdaten'!$C$15,$A:$D,$D$6,FALSE)*'Erkrankungs- und Strukturdaten'!$C$9,0),0)</f>
        <v>0</v>
      </c>
      <c r="J158" s="5">
        <f>I158*'Erkrankungs- und Strukturdaten'!$C$10/'Erkrankungs- und Strukturdaten'!$C$9</f>
        <v>0</v>
      </c>
      <c r="K158" s="5">
        <f>I158*'Erkrankungs- und Strukturdaten'!$C$21</f>
        <v>0</v>
      </c>
      <c r="L158" s="11"/>
      <c r="M158" s="82">
        <f>SUM($K$66:K158)</f>
        <v>53620</v>
      </c>
      <c r="N158" s="9"/>
      <c r="O158" s="5">
        <f>IF(AND(((H158/'Erkrankungs- und Strukturdaten'!$C$25)*'Erkrankungs- und Strukturdaten'!$E$27)+(H158/'Erkrankungs- und Strukturdaten'!$C$26)&lt;1,((H158/'Erkrankungs- und Strukturdaten'!$C$25)*'Erkrankungs- und Strukturdaten'!$E$27)+(H158/'Erkrankungs- und Strukturdaten'!$C$26)&gt;0),1,((H158/'Erkrankungs- und Strukturdaten'!$C$25)*'Erkrankungs- und Strukturdaten'!$E$27)+(H158/'Erkrankungs- und Strukturdaten'!$C$26))</f>
        <v>0</v>
      </c>
      <c r="P158" s="5">
        <f>ROUNDUP(((I158/'Erkrankungs- und Strukturdaten'!$C$28)*'Erkrankungs- und Strukturdaten'!$E$30)+(I158/'Erkrankungs- und Strukturdaten'!$C$29),0)</f>
        <v>0</v>
      </c>
      <c r="Q158" s="5">
        <f>ROUNDUP((H158/'Erkrankungs- und Strukturdaten'!$C$34*'Erkrankungs- und Strukturdaten'!$E$36)+(H158/'Erkrankungs- und Strukturdaten'!$C$35),0)</f>
        <v>0</v>
      </c>
      <c r="R158" s="5">
        <f>ROUNDUP((I158*'Erkrankungs- und Strukturdaten'!$C$40/'Erkrankungs- und Strukturdaten'!$C$38*'Erkrankungs- und Strukturdaten'!$E$39)+(I158*(1-'Erkrankungs- und Strukturdaten'!$C$40)/'Erkrankungs- und Strukturdaten'!$C$37*'Erkrankungs- und Strukturdaten'!$E$39),0)</f>
        <v>0</v>
      </c>
      <c r="S158" s="52"/>
      <c r="U158" s="44">
        <f>((H158/'Erkrankungs- und Strukturdaten'!$C$25)*'Erkrankungs- und Strukturdaten'!$E$27*'Erkrankungs- und Strukturdaten'!$F$27)+(H158/'Erkrankungs- und Strukturdaten'!$C$26*'Erkrankungs- und Strukturdaten'!$G$27)</f>
        <v>0</v>
      </c>
      <c r="V158" s="44">
        <f>(I158/'Erkrankungs- und Strukturdaten'!$C$28*'Erkrankungs- und Strukturdaten'!$E$30*'Erkrankungs- und Strukturdaten'!$F$30)+(I158/'Erkrankungs- und Strukturdaten'!$C$29*'Erkrankungs- und Strukturdaten'!$G$30)</f>
        <v>0</v>
      </c>
      <c r="AB158" s="2">
        <f t="shared" si="6"/>
        <v>44435</v>
      </c>
    </row>
    <row r="159" spans="1:28" ht="15" x14ac:dyDescent="0.2">
      <c r="A159" s="42">
        <v>150</v>
      </c>
      <c r="B159" s="373"/>
      <c r="C159" s="27">
        <f t="shared" si="5"/>
        <v>44436</v>
      </c>
      <c r="D159" s="6">
        <f>SUMIF('Fallzahlen (Berechnung)'!D:D,"&lt;="&amp;Prognoseergebnis!C159,'Fallzahlen (Berechnung)'!E:E)-'Fallzahlen (Berechnung)'!$E$1</f>
        <v>698897.79656085023</v>
      </c>
      <c r="E159" s="114" t="e">
        <f>VLOOKUP(C159,'Fallzahlen (Berechnung)'!$D:$E,'Fallzahlen (Berechnung)'!$E$1,FALSE)</f>
        <v>#N/A</v>
      </c>
      <c r="G159" s="18">
        <v>150</v>
      </c>
      <c r="H159" s="6">
        <f>ROUND('Erkrankungs- und Strukturdaten'!$C$8*D159-IF(G159&gt;'Erkrankungs- und Strukturdaten'!$C$14,VLOOKUP(Prognoseergebnis!G159-ROUNDDOWN('Erkrankungs- und Strukturdaten'!$C$14,0),$A:$D,$D$6,FALSE)*'Erkrankungs- und Strukturdaten'!$C$8,0)
+IF(G159&gt;'Erkrankungs- und Strukturdaten'!$C$15,VLOOKUP(Prognoseergebnis!G159-ROUNDDOWN('Erkrankungs- und Strukturdaten'!$C$15,0),A:D,$D$6,FALSE)*'Erkrankungs- und Strukturdaten'!$C$9,0)
-IF(G159&gt;'Erkrankungs- und Strukturdaten'!$C$15+'Erkrankungs- und Strukturdaten'!$C$16,VLOOKUP(Prognoseergebnis!G159-ROUNDDOWN('Erkrankungs- und Strukturdaten'!$C$15-'Erkrankungs- und Strukturdaten'!$C$16,0),A:D,$D$6,FALSE)*'Erkrankungs- und Strukturdaten'!$C$9,0),0)</f>
        <v>0</v>
      </c>
      <c r="I159" s="6">
        <f>ROUND('Erkrankungs- und Strukturdaten'!$C$9*D159-IF(G159&gt;'Erkrankungs- und Strukturdaten'!$C$15,VLOOKUP(Prognoseergebnis!G159-'Erkrankungs- und Strukturdaten'!$C$15,$A:$D,$D$6,FALSE)*'Erkrankungs- und Strukturdaten'!$C$9,0),0)</f>
        <v>0</v>
      </c>
      <c r="J159" s="6">
        <f>I159*'Erkrankungs- und Strukturdaten'!$C$10/'Erkrankungs- und Strukturdaten'!$C$9</f>
        <v>0</v>
      </c>
      <c r="K159" s="6">
        <f>I159*'Erkrankungs- und Strukturdaten'!$C$21</f>
        <v>0</v>
      </c>
      <c r="L159" s="11"/>
      <c r="M159" s="82">
        <f>SUM($K$66:K159)</f>
        <v>53620</v>
      </c>
      <c r="N159" s="9"/>
      <c r="O159" s="6">
        <f>IF(AND(((H159/'Erkrankungs- und Strukturdaten'!$C$25)*'Erkrankungs- und Strukturdaten'!$E$27)+(H159/'Erkrankungs- und Strukturdaten'!$C$26)&lt;1,((H159/'Erkrankungs- und Strukturdaten'!$C$25)*'Erkrankungs- und Strukturdaten'!$E$27)+(H159/'Erkrankungs- und Strukturdaten'!$C$26)&gt;0),1,((H159/'Erkrankungs- und Strukturdaten'!$C$25)*'Erkrankungs- und Strukturdaten'!$E$27)+(H159/'Erkrankungs- und Strukturdaten'!$C$26))</f>
        <v>0</v>
      </c>
      <c r="P159" s="6">
        <f>ROUNDUP(((I159/'Erkrankungs- und Strukturdaten'!$C$28)*'Erkrankungs- und Strukturdaten'!$E$30)+(I159/'Erkrankungs- und Strukturdaten'!$C$29),0)</f>
        <v>0</v>
      </c>
      <c r="Q159" s="6">
        <f>ROUNDUP((H159/'Erkrankungs- und Strukturdaten'!$C$34*'Erkrankungs- und Strukturdaten'!$E$36)+(H159/'Erkrankungs- und Strukturdaten'!$C$35),0)</f>
        <v>0</v>
      </c>
      <c r="R159" s="6">
        <f>ROUNDUP((I159*'Erkrankungs- und Strukturdaten'!$C$40/'Erkrankungs- und Strukturdaten'!$C$38*'Erkrankungs- und Strukturdaten'!$E$39)+(I159*(1-'Erkrankungs- und Strukturdaten'!$C$40)/'Erkrankungs- und Strukturdaten'!$C$37*'Erkrankungs- und Strukturdaten'!$E$39),0)</f>
        <v>0</v>
      </c>
      <c r="S159" s="52"/>
      <c r="U159" s="44">
        <f>((H159/'Erkrankungs- und Strukturdaten'!$C$25)*'Erkrankungs- und Strukturdaten'!$E$27*'Erkrankungs- und Strukturdaten'!$F$27)+(H159/'Erkrankungs- und Strukturdaten'!$C$26*'Erkrankungs- und Strukturdaten'!$G$27)</f>
        <v>0</v>
      </c>
      <c r="V159" s="44">
        <f>(I159/'Erkrankungs- und Strukturdaten'!$C$28*'Erkrankungs- und Strukturdaten'!$E$30*'Erkrankungs- und Strukturdaten'!$F$30)+(I159/'Erkrankungs- und Strukturdaten'!$C$29*'Erkrankungs- und Strukturdaten'!$G$30)</f>
        <v>0</v>
      </c>
      <c r="AB159" s="2">
        <f t="shared" si="6"/>
        <v>44436</v>
      </c>
    </row>
    <row r="160" spans="1:28" ht="15" x14ac:dyDescent="0.2">
      <c r="A160" s="42">
        <v>151</v>
      </c>
      <c r="B160" s="373"/>
      <c r="C160" s="28">
        <f t="shared" si="5"/>
        <v>44437</v>
      </c>
      <c r="D160" s="5">
        <f>SUMIF('Fallzahlen (Berechnung)'!D:D,"&lt;="&amp;Prognoseergebnis!C160,'Fallzahlen (Berechnung)'!E:E)-'Fallzahlen (Berechnung)'!$E$1</f>
        <v>698897.79656085023</v>
      </c>
      <c r="E160" s="115" t="e">
        <f>VLOOKUP(C160,'Fallzahlen (Berechnung)'!$D:$E,'Fallzahlen (Berechnung)'!$E$1,FALSE)</f>
        <v>#N/A</v>
      </c>
      <c r="G160" s="18">
        <v>151</v>
      </c>
      <c r="H160" s="5">
        <f>ROUND('Erkrankungs- und Strukturdaten'!$C$8*D160-IF(G160&gt;'Erkrankungs- und Strukturdaten'!$C$14,VLOOKUP(Prognoseergebnis!G160-ROUNDDOWN('Erkrankungs- und Strukturdaten'!$C$14,0),$A:$D,$D$6,FALSE)*'Erkrankungs- und Strukturdaten'!$C$8,0)
+IF(G160&gt;'Erkrankungs- und Strukturdaten'!$C$15,VLOOKUP(Prognoseergebnis!G160-ROUNDDOWN('Erkrankungs- und Strukturdaten'!$C$15,0),A:D,$D$6,FALSE)*'Erkrankungs- und Strukturdaten'!$C$9,0)
-IF(G160&gt;'Erkrankungs- und Strukturdaten'!$C$15+'Erkrankungs- und Strukturdaten'!$C$16,VLOOKUP(Prognoseergebnis!G160-ROUNDDOWN('Erkrankungs- und Strukturdaten'!$C$15-'Erkrankungs- und Strukturdaten'!$C$16,0),A:D,$D$6,FALSE)*'Erkrankungs- und Strukturdaten'!$C$9,0),0)</f>
        <v>0</v>
      </c>
      <c r="I160" s="5">
        <f>ROUND('Erkrankungs- und Strukturdaten'!$C$9*D160-IF(G160&gt;'Erkrankungs- und Strukturdaten'!$C$15,VLOOKUP(Prognoseergebnis!G160-'Erkrankungs- und Strukturdaten'!$C$15,$A:$D,$D$6,FALSE)*'Erkrankungs- und Strukturdaten'!$C$9,0),0)</f>
        <v>0</v>
      </c>
      <c r="J160" s="5">
        <f>I160*'Erkrankungs- und Strukturdaten'!$C$10/'Erkrankungs- und Strukturdaten'!$C$9</f>
        <v>0</v>
      </c>
      <c r="K160" s="5">
        <f>I160*'Erkrankungs- und Strukturdaten'!$C$21</f>
        <v>0</v>
      </c>
      <c r="L160" s="11"/>
      <c r="M160" s="82">
        <f>SUM($K$66:K160)</f>
        <v>53620</v>
      </c>
      <c r="N160" s="9"/>
      <c r="O160" s="5">
        <f>IF(AND(((H160/'Erkrankungs- und Strukturdaten'!$C$25)*'Erkrankungs- und Strukturdaten'!$E$27)+(H160/'Erkrankungs- und Strukturdaten'!$C$26)&lt;1,((H160/'Erkrankungs- und Strukturdaten'!$C$25)*'Erkrankungs- und Strukturdaten'!$E$27)+(H160/'Erkrankungs- und Strukturdaten'!$C$26)&gt;0),1,((H160/'Erkrankungs- und Strukturdaten'!$C$25)*'Erkrankungs- und Strukturdaten'!$E$27)+(H160/'Erkrankungs- und Strukturdaten'!$C$26))</f>
        <v>0</v>
      </c>
      <c r="P160" s="5">
        <f>ROUNDUP(((I160/'Erkrankungs- und Strukturdaten'!$C$28)*'Erkrankungs- und Strukturdaten'!$E$30)+(I160/'Erkrankungs- und Strukturdaten'!$C$29),0)</f>
        <v>0</v>
      </c>
      <c r="Q160" s="5">
        <f>ROUNDUP((H160/'Erkrankungs- und Strukturdaten'!$C$34*'Erkrankungs- und Strukturdaten'!$E$36)+(H160/'Erkrankungs- und Strukturdaten'!$C$35),0)</f>
        <v>0</v>
      </c>
      <c r="R160" s="5">
        <f>ROUNDUP((I160*'Erkrankungs- und Strukturdaten'!$C$40/'Erkrankungs- und Strukturdaten'!$C$38*'Erkrankungs- und Strukturdaten'!$E$39)+(I160*(1-'Erkrankungs- und Strukturdaten'!$C$40)/'Erkrankungs- und Strukturdaten'!$C$37*'Erkrankungs- und Strukturdaten'!$E$39),0)</f>
        <v>0</v>
      </c>
      <c r="S160" s="52"/>
      <c r="U160" s="44">
        <f>((H160/'Erkrankungs- und Strukturdaten'!$C$25)*'Erkrankungs- und Strukturdaten'!$E$27*'Erkrankungs- und Strukturdaten'!$F$27)+(H160/'Erkrankungs- und Strukturdaten'!$C$26*'Erkrankungs- und Strukturdaten'!$G$27)</f>
        <v>0</v>
      </c>
      <c r="V160" s="44">
        <f>(I160/'Erkrankungs- und Strukturdaten'!$C$28*'Erkrankungs- und Strukturdaten'!$E$30*'Erkrankungs- und Strukturdaten'!$F$30)+(I160/'Erkrankungs- und Strukturdaten'!$C$29*'Erkrankungs- und Strukturdaten'!$G$30)</f>
        <v>0</v>
      </c>
      <c r="AB160" s="2">
        <f t="shared" si="6"/>
        <v>44437</v>
      </c>
    </row>
    <row r="161" spans="1:28" ht="15" x14ac:dyDescent="0.2">
      <c r="A161" s="42">
        <v>152</v>
      </c>
      <c r="B161" s="373"/>
      <c r="C161" s="27">
        <f t="shared" si="5"/>
        <v>44438</v>
      </c>
      <c r="D161" s="6">
        <f>SUMIF('Fallzahlen (Berechnung)'!D:D,"&lt;="&amp;Prognoseergebnis!C161,'Fallzahlen (Berechnung)'!E:E)-'Fallzahlen (Berechnung)'!$E$1</f>
        <v>698897.79656085023</v>
      </c>
      <c r="E161" s="114" t="e">
        <f>VLOOKUP(C161,'Fallzahlen (Berechnung)'!$D:$E,'Fallzahlen (Berechnung)'!$E$1,FALSE)</f>
        <v>#N/A</v>
      </c>
      <c r="G161" s="18">
        <v>152</v>
      </c>
      <c r="H161" s="6">
        <f>ROUND('Erkrankungs- und Strukturdaten'!$C$8*D161-IF(G161&gt;'Erkrankungs- und Strukturdaten'!$C$14,VLOOKUP(Prognoseergebnis!G161-ROUNDDOWN('Erkrankungs- und Strukturdaten'!$C$14,0),$A:$D,$D$6,FALSE)*'Erkrankungs- und Strukturdaten'!$C$8,0)
+IF(G161&gt;'Erkrankungs- und Strukturdaten'!$C$15,VLOOKUP(Prognoseergebnis!G161-ROUNDDOWN('Erkrankungs- und Strukturdaten'!$C$15,0),A:D,$D$6,FALSE)*'Erkrankungs- und Strukturdaten'!$C$9,0)
-IF(G161&gt;'Erkrankungs- und Strukturdaten'!$C$15+'Erkrankungs- und Strukturdaten'!$C$16,VLOOKUP(Prognoseergebnis!G161-ROUNDDOWN('Erkrankungs- und Strukturdaten'!$C$15-'Erkrankungs- und Strukturdaten'!$C$16,0),A:D,$D$6,FALSE)*'Erkrankungs- und Strukturdaten'!$C$9,0),0)</f>
        <v>0</v>
      </c>
      <c r="I161" s="6">
        <f>ROUND('Erkrankungs- und Strukturdaten'!$C$9*D161-IF(G161&gt;'Erkrankungs- und Strukturdaten'!$C$15,VLOOKUP(Prognoseergebnis!G161-'Erkrankungs- und Strukturdaten'!$C$15,$A:$D,$D$6,FALSE)*'Erkrankungs- und Strukturdaten'!$C$9,0),0)</f>
        <v>0</v>
      </c>
      <c r="J161" s="6">
        <f>I161*'Erkrankungs- und Strukturdaten'!$C$10/'Erkrankungs- und Strukturdaten'!$C$9</f>
        <v>0</v>
      </c>
      <c r="K161" s="6">
        <f>I161*'Erkrankungs- und Strukturdaten'!$C$21</f>
        <v>0</v>
      </c>
      <c r="L161" s="11"/>
      <c r="M161" s="82">
        <f>SUM($K$66:K161)</f>
        <v>53620</v>
      </c>
      <c r="N161" s="9"/>
      <c r="O161" s="6">
        <f>IF(AND(((H161/'Erkrankungs- und Strukturdaten'!$C$25)*'Erkrankungs- und Strukturdaten'!$E$27)+(H161/'Erkrankungs- und Strukturdaten'!$C$26)&lt;1,((H161/'Erkrankungs- und Strukturdaten'!$C$25)*'Erkrankungs- und Strukturdaten'!$E$27)+(H161/'Erkrankungs- und Strukturdaten'!$C$26)&gt;0),1,((H161/'Erkrankungs- und Strukturdaten'!$C$25)*'Erkrankungs- und Strukturdaten'!$E$27)+(H161/'Erkrankungs- und Strukturdaten'!$C$26))</f>
        <v>0</v>
      </c>
      <c r="P161" s="6">
        <f>ROUNDUP(((I161/'Erkrankungs- und Strukturdaten'!$C$28)*'Erkrankungs- und Strukturdaten'!$E$30)+(I161/'Erkrankungs- und Strukturdaten'!$C$29),0)</f>
        <v>0</v>
      </c>
      <c r="Q161" s="6">
        <f>ROUNDUP((H161/'Erkrankungs- und Strukturdaten'!$C$34*'Erkrankungs- und Strukturdaten'!$E$36)+(H161/'Erkrankungs- und Strukturdaten'!$C$35),0)</f>
        <v>0</v>
      </c>
      <c r="R161" s="6">
        <f>ROUNDUP((I161*'Erkrankungs- und Strukturdaten'!$C$40/'Erkrankungs- und Strukturdaten'!$C$38*'Erkrankungs- und Strukturdaten'!$E$39)+(I161*(1-'Erkrankungs- und Strukturdaten'!$C$40)/'Erkrankungs- und Strukturdaten'!$C$37*'Erkrankungs- und Strukturdaten'!$E$39),0)</f>
        <v>0</v>
      </c>
      <c r="S161" s="52"/>
      <c r="U161" s="44">
        <f>((H161/'Erkrankungs- und Strukturdaten'!$C$25)*'Erkrankungs- und Strukturdaten'!$E$27*'Erkrankungs- und Strukturdaten'!$F$27)+(H161/'Erkrankungs- und Strukturdaten'!$C$26*'Erkrankungs- und Strukturdaten'!$G$27)</f>
        <v>0</v>
      </c>
      <c r="V161" s="44">
        <f>(I161/'Erkrankungs- und Strukturdaten'!$C$28*'Erkrankungs- und Strukturdaten'!$E$30*'Erkrankungs- und Strukturdaten'!$F$30)+(I161/'Erkrankungs- und Strukturdaten'!$C$29*'Erkrankungs- und Strukturdaten'!$G$30)</f>
        <v>0</v>
      </c>
      <c r="AB161" s="2">
        <f t="shared" si="6"/>
        <v>44438</v>
      </c>
    </row>
    <row r="162" spans="1:28" ht="15" x14ac:dyDescent="0.2">
      <c r="A162" s="42">
        <v>153</v>
      </c>
      <c r="B162" s="373"/>
      <c r="C162" s="28">
        <f t="shared" si="5"/>
        <v>44439</v>
      </c>
      <c r="D162" s="5">
        <f>SUMIF('Fallzahlen (Berechnung)'!D:D,"&lt;="&amp;Prognoseergebnis!C162,'Fallzahlen (Berechnung)'!E:E)-'Fallzahlen (Berechnung)'!$E$1</f>
        <v>698897.79656085023</v>
      </c>
      <c r="E162" s="115" t="e">
        <f>VLOOKUP(C162,'Fallzahlen (Berechnung)'!$D:$E,'Fallzahlen (Berechnung)'!$E$1,FALSE)</f>
        <v>#N/A</v>
      </c>
      <c r="G162" s="18">
        <v>153</v>
      </c>
      <c r="H162" s="5">
        <f>ROUND('Erkrankungs- und Strukturdaten'!$C$8*D162-IF(G162&gt;'Erkrankungs- und Strukturdaten'!$C$14,VLOOKUP(Prognoseergebnis!G162-ROUNDDOWN('Erkrankungs- und Strukturdaten'!$C$14,0),$A:$D,$D$6,FALSE)*'Erkrankungs- und Strukturdaten'!$C$8,0)
+IF(G162&gt;'Erkrankungs- und Strukturdaten'!$C$15,VLOOKUP(Prognoseergebnis!G162-ROUNDDOWN('Erkrankungs- und Strukturdaten'!$C$15,0),A:D,$D$6,FALSE)*'Erkrankungs- und Strukturdaten'!$C$9,0)
-IF(G162&gt;'Erkrankungs- und Strukturdaten'!$C$15+'Erkrankungs- und Strukturdaten'!$C$16,VLOOKUP(Prognoseergebnis!G162-ROUNDDOWN('Erkrankungs- und Strukturdaten'!$C$15-'Erkrankungs- und Strukturdaten'!$C$16,0),A:D,$D$6,FALSE)*'Erkrankungs- und Strukturdaten'!$C$9,0),0)</f>
        <v>0</v>
      </c>
      <c r="I162" s="5">
        <f>ROUND('Erkrankungs- und Strukturdaten'!$C$9*D162-IF(G162&gt;'Erkrankungs- und Strukturdaten'!$C$15,VLOOKUP(Prognoseergebnis!G162-'Erkrankungs- und Strukturdaten'!$C$15,$A:$D,$D$6,FALSE)*'Erkrankungs- und Strukturdaten'!$C$9,0),0)</f>
        <v>0</v>
      </c>
      <c r="J162" s="5">
        <f>I162*'Erkrankungs- und Strukturdaten'!$C$10/'Erkrankungs- und Strukturdaten'!$C$9</f>
        <v>0</v>
      </c>
      <c r="K162" s="5">
        <f>I162*'Erkrankungs- und Strukturdaten'!$C$21</f>
        <v>0</v>
      </c>
      <c r="L162" s="11"/>
      <c r="M162" s="82">
        <f>SUM($K$66:K162)</f>
        <v>53620</v>
      </c>
      <c r="N162" s="9"/>
      <c r="O162" s="5">
        <f>IF(AND(((H162/'Erkrankungs- und Strukturdaten'!$C$25)*'Erkrankungs- und Strukturdaten'!$E$27)+(H162/'Erkrankungs- und Strukturdaten'!$C$26)&lt;1,((H162/'Erkrankungs- und Strukturdaten'!$C$25)*'Erkrankungs- und Strukturdaten'!$E$27)+(H162/'Erkrankungs- und Strukturdaten'!$C$26)&gt;0),1,((H162/'Erkrankungs- und Strukturdaten'!$C$25)*'Erkrankungs- und Strukturdaten'!$E$27)+(H162/'Erkrankungs- und Strukturdaten'!$C$26))</f>
        <v>0</v>
      </c>
      <c r="P162" s="5">
        <f>ROUNDUP(((I162/'Erkrankungs- und Strukturdaten'!$C$28)*'Erkrankungs- und Strukturdaten'!$E$30)+(I162/'Erkrankungs- und Strukturdaten'!$C$29),0)</f>
        <v>0</v>
      </c>
      <c r="Q162" s="5">
        <f>ROUNDUP((H162/'Erkrankungs- und Strukturdaten'!$C$34*'Erkrankungs- und Strukturdaten'!$E$36)+(H162/'Erkrankungs- und Strukturdaten'!$C$35),0)</f>
        <v>0</v>
      </c>
      <c r="R162" s="5">
        <f>ROUNDUP((I162*'Erkrankungs- und Strukturdaten'!$C$40/'Erkrankungs- und Strukturdaten'!$C$38*'Erkrankungs- und Strukturdaten'!$E$39)+(I162*(1-'Erkrankungs- und Strukturdaten'!$C$40)/'Erkrankungs- und Strukturdaten'!$C$37*'Erkrankungs- und Strukturdaten'!$E$39),0)</f>
        <v>0</v>
      </c>
      <c r="S162" s="52"/>
      <c r="U162" s="44">
        <f>((H162/'Erkrankungs- und Strukturdaten'!$C$25)*'Erkrankungs- und Strukturdaten'!$E$27*'Erkrankungs- und Strukturdaten'!$F$27)+(H162/'Erkrankungs- und Strukturdaten'!$C$26*'Erkrankungs- und Strukturdaten'!$G$27)</f>
        <v>0</v>
      </c>
      <c r="V162" s="44">
        <f>(I162/'Erkrankungs- und Strukturdaten'!$C$28*'Erkrankungs- und Strukturdaten'!$E$30*'Erkrankungs- und Strukturdaten'!$F$30)+(I162/'Erkrankungs- und Strukturdaten'!$C$29*'Erkrankungs- und Strukturdaten'!$G$30)</f>
        <v>0</v>
      </c>
      <c r="AB162" s="2">
        <f t="shared" si="6"/>
        <v>44439</v>
      </c>
    </row>
    <row r="163" spans="1:28" ht="15" x14ac:dyDescent="0.2">
      <c r="A163" s="42">
        <v>154</v>
      </c>
      <c r="B163" s="373"/>
      <c r="C163" s="73">
        <f t="shared" si="5"/>
        <v>44440</v>
      </c>
      <c r="D163" s="74">
        <f>SUMIF('Fallzahlen (Berechnung)'!D:D,"&lt;="&amp;Prognoseergebnis!C163,'Fallzahlen (Berechnung)'!E:E)-'Fallzahlen (Berechnung)'!$E$1</f>
        <v>698897.79656085023</v>
      </c>
      <c r="E163" s="119" t="e">
        <f>VLOOKUP(C163,'Fallzahlen (Berechnung)'!$D:$E,'Fallzahlen (Berechnung)'!$E$1,FALSE)</f>
        <v>#N/A</v>
      </c>
      <c r="G163" s="18">
        <v>154</v>
      </c>
      <c r="H163" s="74">
        <f>ROUND('Erkrankungs- und Strukturdaten'!$C$8*D163-IF(G163&gt;'Erkrankungs- und Strukturdaten'!$C$14,VLOOKUP(Prognoseergebnis!G163-ROUNDDOWN('Erkrankungs- und Strukturdaten'!$C$14,0),$A:$D,$D$6,FALSE)*'Erkrankungs- und Strukturdaten'!$C$8,0)
+IF(G163&gt;'Erkrankungs- und Strukturdaten'!$C$15,VLOOKUP(Prognoseergebnis!G163-ROUNDDOWN('Erkrankungs- und Strukturdaten'!$C$15,0),A:D,$D$6,FALSE)*'Erkrankungs- und Strukturdaten'!$C$9,0)
-IF(G163&gt;'Erkrankungs- und Strukturdaten'!$C$15+'Erkrankungs- und Strukturdaten'!$C$16,VLOOKUP(Prognoseergebnis!G163-ROUNDDOWN('Erkrankungs- und Strukturdaten'!$C$15-'Erkrankungs- und Strukturdaten'!$C$16,0),A:D,$D$6,FALSE)*'Erkrankungs- und Strukturdaten'!$C$9,0),0)</f>
        <v>0</v>
      </c>
      <c r="I163" s="74">
        <f>ROUND('Erkrankungs- und Strukturdaten'!$C$9*D163-IF(G163&gt;'Erkrankungs- und Strukturdaten'!$C$15,VLOOKUP(Prognoseergebnis!G163-'Erkrankungs- und Strukturdaten'!$C$15,$A:$D,$D$6,FALSE)*'Erkrankungs- und Strukturdaten'!$C$9,0),0)</f>
        <v>0</v>
      </c>
      <c r="J163" s="74">
        <f>I163*'Erkrankungs- und Strukturdaten'!$C$10/'Erkrankungs- und Strukturdaten'!$C$9</f>
        <v>0</v>
      </c>
      <c r="K163" s="74">
        <f>I163*'Erkrankungs- und Strukturdaten'!$C$21</f>
        <v>0</v>
      </c>
      <c r="L163" s="11"/>
      <c r="M163" s="82">
        <f>SUM($K$66:K163)</f>
        <v>53620</v>
      </c>
      <c r="N163" s="9"/>
      <c r="O163" s="74">
        <f>IF(AND(((H163/'Erkrankungs- und Strukturdaten'!$C$25)*'Erkrankungs- und Strukturdaten'!$E$27)+(H163/'Erkrankungs- und Strukturdaten'!$C$26)&lt;1,((H163/'Erkrankungs- und Strukturdaten'!$C$25)*'Erkrankungs- und Strukturdaten'!$E$27)+(H163/'Erkrankungs- und Strukturdaten'!$C$26)&gt;0),1,((H163/'Erkrankungs- und Strukturdaten'!$C$25)*'Erkrankungs- und Strukturdaten'!$E$27)+(H163/'Erkrankungs- und Strukturdaten'!$C$26))</f>
        <v>0</v>
      </c>
      <c r="P163" s="74">
        <f>ROUNDUP(((I163/'Erkrankungs- und Strukturdaten'!$C$28)*'Erkrankungs- und Strukturdaten'!$E$30)+(I163/'Erkrankungs- und Strukturdaten'!$C$29),0)</f>
        <v>0</v>
      </c>
      <c r="Q163" s="74">
        <f>ROUNDUP((H163/'Erkrankungs- und Strukturdaten'!$C$34*'Erkrankungs- und Strukturdaten'!$E$36)+(H163/'Erkrankungs- und Strukturdaten'!$C$35),0)</f>
        <v>0</v>
      </c>
      <c r="R163" s="74">
        <f>ROUNDUP((I163*'Erkrankungs- und Strukturdaten'!$C$40/'Erkrankungs- und Strukturdaten'!$C$38*'Erkrankungs- und Strukturdaten'!$E$39)+(I163*(1-'Erkrankungs- und Strukturdaten'!$C$40)/'Erkrankungs- und Strukturdaten'!$C$37*'Erkrankungs- und Strukturdaten'!$E$39),0)</f>
        <v>0</v>
      </c>
      <c r="S163" s="52"/>
      <c r="U163" s="44">
        <f>((H163/'Erkrankungs- und Strukturdaten'!$C$25)*'Erkrankungs- und Strukturdaten'!$E$27*'Erkrankungs- und Strukturdaten'!$F$27)+(H163/'Erkrankungs- und Strukturdaten'!$C$26*'Erkrankungs- und Strukturdaten'!$G$27)</f>
        <v>0</v>
      </c>
      <c r="V163" s="44">
        <f>(I163/'Erkrankungs- und Strukturdaten'!$C$28*'Erkrankungs- und Strukturdaten'!$E$30*'Erkrankungs- und Strukturdaten'!$F$30)+(I163/'Erkrankungs- und Strukturdaten'!$C$29*'Erkrankungs- und Strukturdaten'!$G$30)</f>
        <v>0</v>
      </c>
      <c r="AB163" s="2">
        <f t="shared" si="6"/>
        <v>44440</v>
      </c>
    </row>
    <row r="164" spans="1:28" ht="15" x14ac:dyDescent="0.2">
      <c r="A164" s="42">
        <v>155</v>
      </c>
      <c r="B164" s="375" t="s">
        <v>206</v>
      </c>
      <c r="C164" s="78">
        <f t="shared" si="5"/>
        <v>44441</v>
      </c>
      <c r="D164" s="4">
        <f>SUMIF('Fallzahlen (Berechnung)'!D:D,"&lt;="&amp;Prognoseergebnis!C164,'Fallzahlen (Berechnung)'!E:E)-'Fallzahlen (Berechnung)'!$E$1</f>
        <v>698897.79656085023</v>
      </c>
      <c r="E164" s="116" t="e">
        <f>VLOOKUP(C164,'Fallzahlen (Berechnung)'!$D:$E,'Fallzahlen (Berechnung)'!$E$1,FALSE)</f>
        <v>#N/A</v>
      </c>
      <c r="G164" s="18">
        <v>155</v>
      </c>
      <c r="H164" s="4">
        <f>ROUND('Erkrankungs- und Strukturdaten'!$C$8*D164-IF(G164&gt;'Erkrankungs- und Strukturdaten'!$C$14,VLOOKUP(Prognoseergebnis!G164-ROUNDDOWN('Erkrankungs- und Strukturdaten'!$C$14,0),$A:$D,$D$6,FALSE)*'Erkrankungs- und Strukturdaten'!$C$8,0)
+IF(G164&gt;'Erkrankungs- und Strukturdaten'!$C$15,VLOOKUP(Prognoseergebnis!G164-ROUNDDOWN('Erkrankungs- und Strukturdaten'!$C$15,0),A:D,$D$6,FALSE)*'Erkrankungs- und Strukturdaten'!$C$9,0)
-IF(G164&gt;'Erkrankungs- und Strukturdaten'!$C$15+'Erkrankungs- und Strukturdaten'!$C$16,VLOOKUP(Prognoseergebnis!G164-ROUNDDOWN('Erkrankungs- und Strukturdaten'!$C$15-'Erkrankungs- und Strukturdaten'!$C$16,0),A:D,$D$6,FALSE)*'Erkrankungs- und Strukturdaten'!$C$9,0),0)</f>
        <v>0</v>
      </c>
      <c r="I164" s="4">
        <f>ROUND('Erkrankungs- und Strukturdaten'!$C$9*D164-IF(G164&gt;'Erkrankungs- und Strukturdaten'!$C$15,VLOOKUP(Prognoseergebnis!G164-'Erkrankungs- und Strukturdaten'!$C$15,$A:$D,$D$6,FALSE)*'Erkrankungs- und Strukturdaten'!$C$9,0),0)</f>
        <v>0</v>
      </c>
      <c r="J164" s="4">
        <f>I164*'Erkrankungs- und Strukturdaten'!$C$10/'Erkrankungs- und Strukturdaten'!$C$9</f>
        <v>0</v>
      </c>
      <c r="K164" s="4">
        <f>I164*'Erkrankungs- und Strukturdaten'!$C$21</f>
        <v>0</v>
      </c>
      <c r="L164" s="11"/>
      <c r="M164" s="82">
        <f>SUM($K$66:K164)</f>
        <v>53620</v>
      </c>
      <c r="N164" s="9"/>
      <c r="O164" s="4">
        <f>IF(AND(((H164/'Erkrankungs- und Strukturdaten'!$C$25)*'Erkrankungs- und Strukturdaten'!$E$27)+(H164/'Erkrankungs- und Strukturdaten'!$C$26)&lt;1,((H164/'Erkrankungs- und Strukturdaten'!$C$25)*'Erkrankungs- und Strukturdaten'!$E$27)+(H164/'Erkrankungs- und Strukturdaten'!$C$26)&gt;0),1,((H164/'Erkrankungs- und Strukturdaten'!$C$25)*'Erkrankungs- und Strukturdaten'!$E$27)+(H164/'Erkrankungs- und Strukturdaten'!$C$26))</f>
        <v>0</v>
      </c>
      <c r="P164" s="4">
        <f>ROUNDUP(((I164/'Erkrankungs- und Strukturdaten'!$C$28)*'Erkrankungs- und Strukturdaten'!$E$30)+(I164/'Erkrankungs- und Strukturdaten'!$C$29),0)</f>
        <v>0</v>
      </c>
      <c r="Q164" s="4">
        <f>ROUNDUP((H164/'Erkrankungs- und Strukturdaten'!$C$34*'Erkrankungs- und Strukturdaten'!$E$36)+(H164/'Erkrankungs- und Strukturdaten'!$C$35),0)</f>
        <v>0</v>
      </c>
      <c r="R164" s="4">
        <f>ROUNDUP((I164*'Erkrankungs- und Strukturdaten'!$C$40/'Erkrankungs- und Strukturdaten'!$C$38*'Erkrankungs- und Strukturdaten'!$E$39)+(I164*(1-'Erkrankungs- und Strukturdaten'!$C$40)/'Erkrankungs- und Strukturdaten'!$C$37*'Erkrankungs- und Strukturdaten'!$E$39),0)</f>
        <v>0</v>
      </c>
      <c r="S164" s="52"/>
      <c r="U164" s="44">
        <f>((H164/'Erkrankungs- und Strukturdaten'!$C$25)*'Erkrankungs- und Strukturdaten'!$E$27*'Erkrankungs- und Strukturdaten'!$F$27)+(H164/'Erkrankungs- und Strukturdaten'!$C$26*'Erkrankungs- und Strukturdaten'!$G$27)</f>
        <v>0</v>
      </c>
      <c r="V164" s="44">
        <f>(I164/'Erkrankungs- und Strukturdaten'!$C$28*'Erkrankungs- und Strukturdaten'!$E$30*'Erkrankungs- und Strukturdaten'!$F$30)+(I164/'Erkrankungs- und Strukturdaten'!$C$29*'Erkrankungs- und Strukturdaten'!$G$30)</f>
        <v>0</v>
      </c>
      <c r="AB164" s="2">
        <f t="shared" ref="AB164:AB170" si="7">C164</f>
        <v>44441</v>
      </c>
    </row>
    <row r="165" spans="1:28" ht="15" x14ac:dyDescent="0.2">
      <c r="A165" s="42">
        <v>156</v>
      </c>
      <c r="B165" s="375"/>
      <c r="C165" s="27">
        <f t="shared" si="5"/>
        <v>44442</v>
      </c>
      <c r="D165" s="6">
        <f>SUMIF('Fallzahlen (Berechnung)'!D:D,"&lt;="&amp;Prognoseergebnis!C165,'Fallzahlen (Berechnung)'!E:E)-'Fallzahlen (Berechnung)'!$E$1</f>
        <v>698897.79656085023</v>
      </c>
      <c r="E165" s="114" t="e">
        <f>VLOOKUP(C165,'Fallzahlen (Berechnung)'!$D:$E,'Fallzahlen (Berechnung)'!$E$1,FALSE)</f>
        <v>#N/A</v>
      </c>
      <c r="G165" s="18">
        <v>156</v>
      </c>
      <c r="H165" s="6">
        <f>ROUND('Erkrankungs- und Strukturdaten'!$C$8*D165-IF(G165&gt;'Erkrankungs- und Strukturdaten'!$C$14,VLOOKUP(Prognoseergebnis!G165-ROUNDDOWN('Erkrankungs- und Strukturdaten'!$C$14,0),$A:$D,$D$6,FALSE)*'Erkrankungs- und Strukturdaten'!$C$8,0)
+IF(G165&gt;'Erkrankungs- und Strukturdaten'!$C$15,VLOOKUP(Prognoseergebnis!G165-ROUNDDOWN('Erkrankungs- und Strukturdaten'!$C$15,0),A:D,$D$6,FALSE)*'Erkrankungs- und Strukturdaten'!$C$9,0)
-IF(G165&gt;'Erkrankungs- und Strukturdaten'!$C$15+'Erkrankungs- und Strukturdaten'!$C$16,VLOOKUP(Prognoseergebnis!G165-ROUNDDOWN('Erkrankungs- und Strukturdaten'!$C$15-'Erkrankungs- und Strukturdaten'!$C$16,0),A:D,$D$6,FALSE)*'Erkrankungs- und Strukturdaten'!$C$9,0),0)</f>
        <v>0</v>
      </c>
      <c r="I165" s="6">
        <f>ROUND('Erkrankungs- und Strukturdaten'!$C$9*D165-IF(G165&gt;'Erkrankungs- und Strukturdaten'!$C$15,VLOOKUP(Prognoseergebnis!G165-'Erkrankungs- und Strukturdaten'!$C$15,$A:$D,$D$6,FALSE)*'Erkrankungs- und Strukturdaten'!$C$9,0),0)</f>
        <v>0</v>
      </c>
      <c r="J165" s="6">
        <f>I165*'Erkrankungs- und Strukturdaten'!$C$10/'Erkrankungs- und Strukturdaten'!$C$9</f>
        <v>0</v>
      </c>
      <c r="K165" s="6">
        <f>I165*'Erkrankungs- und Strukturdaten'!$C$21</f>
        <v>0</v>
      </c>
      <c r="L165" s="11"/>
      <c r="M165" s="82">
        <f>SUM($K$66:K165)</f>
        <v>53620</v>
      </c>
      <c r="N165" s="9"/>
      <c r="O165" s="6">
        <f>IF(AND(((H165/'Erkrankungs- und Strukturdaten'!$C$25)*'Erkrankungs- und Strukturdaten'!$E$27)+(H165/'Erkrankungs- und Strukturdaten'!$C$26)&lt;1,((H165/'Erkrankungs- und Strukturdaten'!$C$25)*'Erkrankungs- und Strukturdaten'!$E$27)+(H165/'Erkrankungs- und Strukturdaten'!$C$26)&gt;0),1,((H165/'Erkrankungs- und Strukturdaten'!$C$25)*'Erkrankungs- und Strukturdaten'!$E$27)+(H165/'Erkrankungs- und Strukturdaten'!$C$26))</f>
        <v>0</v>
      </c>
      <c r="P165" s="6">
        <f>ROUNDUP(((I165/'Erkrankungs- und Strukturdaten'!$C$28)*'Erkrankungs- und Strukturdaten'!$E$30)+(I165/'Erkrankungs- und Strukturdaten'!$C$29),0)</f>
        <v>0</v>
      </c>
      <c r="Q165" s="6">
        <f>ROUNDUP((H165/'Erkrankungs- und Strukturdaten'!$C$34*'Erkrankungs- und Strukturdaten'!$E$36)+(H165/'Erkrankungs- und Strukturdaten'!$C$35),0)</f>
        <v>0</v>
      </c>
      <c r="R165" s="6">
        <f>ROUNDUP((I165*'Erkrankungs- und Strukturdaten'!$C$40/'Erkrankungs- und Strukturdaten'!$C$38*'Erkrankungs- und Strukturdaten'!$E$39)+(I165*(1-'Erkrankungs- und Strukturdaten'!$C$40)/'Erkrankungs- und Strukturdaten'!$C$37*'Erkrankungs- und Strukturdaten'!$E$39),0)</f>
        <v>0</v>
      </c>
      <c r="S165" s="52"/>
      <c r="U165" s="44">
        <f>((H165/'Erkrankungs- und Strukturdaten'!$C$25)*'Erkrankungs- und Strukturdaten'!$E$27*'Erkrankungs- und Strukturdaten'!$F$27)+(H165/'Erkrankungs- und Strukturdaten'!$C$26*'Erkrankungs- und Strukturdaten'!$G$27)</f>
        <v>0</v>
      </c>
      <c r="V165" s="44">
        <f>(I165/'Erkrankungs- und Strukturdaten'!$C$28*'Erkrankungs- und Strukturdaten'!$E$30*'Erkrankungs- und Strukturdaten'!$F$30)+(I165/'Erkrankungs- und Strukturdaten'!$C$29*'Erkrankungs- und Strukturdaten'!$G$30)</f>
        <v>0</v>
      </c>
      <c r="AB165" s="2">
        <f t="shared" si="7"/>
        <v>44442</v>
      </c>
    </row>
    <row r="166" spans="1:28" ht="15" x14ac:dyDescent="0.2">
      <c r="A166" s="42">
        <v>157</v>
      </c>
      <c r="B166" s="375"/>
      <c r="C166" s="28">
        <f t="shared" si="5"/>
        <v>44443</v>
      </c>
      <c r="D166" s="5">
        <f>SUMIF('Fallzahlen (Berechnung)'!D:D,"&lt;="&amp;Prognoseergebnis!C166,'Fallzahlen (Berechnung)'!E:E)-'Fallzahlen (Berechnung)'!$E$1</f>
        <v>698897.79656085023</v>
      </c>
      <c r="E166" s="115" t="e">
        <f>VLOOKUP(C166,'Fallzahlen (Berechnung)'!$D:$E,'Fallzahlen (Berechnung)'!$E$1,FALSE)</f>
        <v>#N/A</v>
      </c>
      <c r="G166" s="18">
        <v>157</v>
      </c>
      <c r="H166" s="5">
        <f>ROUND('Erkrankungs- und Strukturdaten'!$C$8*D166-IF(G166&gt;'Erkrankungs- und Strukturdaten'!$C$14,VLOOKUP(Prognoseergebnis!G166-ROUNDDOWN('Erkrankungs- und Strukturdaten'!$C$14,0),$A:$D,$D$6,FALSE)*'Erkrankungs- und Strukturdaten'!$C$8,0)
+IF(G166&gt;'Erkrankungs- und Strukturdaten'!$C$15,VLOOKUP(Prognoseergebnis!G166-ROUNDDOWN('Erkrankungs- und Strukturdaten'!$C$15,0),A:D,$D$6,FALSE)*'Erkrankungs- und Strukturdaten'!$C$9,0)
-IF(G166&gt;'Erkrankungs- und Strukturdaten'!$C$15+'Erkrankungs- und Strukturdaten'!$C$16,VLOOKUP(Prognoseergebnis!G166-ROUNDDOWN('Erkrankungs- und Strukturdaten'!$C$15-'Erkrankungs- und Strukturdaten'!$C$16,0),A:D,$D$6,FALSE)*'Erkrankungs- und Strukturdaten'!$C$9,0),0)</f>
        <v>0</v>
      </c>
      <c r="I166" s="5">
        <f>ROUND('Erkrankungs- und Strukturdaten'!$C$9*D166-IF(G166&gt;'Erkrankungs- und Strukturdaten'!$C$15,VLOOKUP(Prognoseergebnis!G166-'Erkrankungs- und Strukturdaten'!$C$15,$A:$D,$D$6,FALSE)*'Erkrankungs- und Strukturdaten'!$C$9,0),0)</f>
        <v>0</v>
      </c>
      <c r="J166" s="5">
        <f>I166*'Erkrankungs- und Strukturdaten'!$C$10/'Erkrankungs- und Strukturdaten'!$C$9</f>
        <v>0</v>
      </c>
      <c r="K166" s="5">
        <f>I166*'Erkrankungs- und Strukturdaten'!$C$21</f>
        <v>0</v>
      </c>
      <c r="L166" s="11"/>
      <c r="M166" s="82">
        <f>SUM($K$66:K166)</f>
        <v>53620</v>
      </c>
      <c r="N166" s="9"/>
      <c r="O166" s="5">
        <f>IF(AND(((H166/'Erkrankungs- und Strukturdaten'!$C$25)*'Erkrankungs- und Strukturdaten'!$E$27)+(H166/'Erkrankungs- und Strukturdaten'!$C$26)&lt;1,((H166/'Erkrankungs- und Strukturdaten'!$C$25)*'Erkrankungs- und Strukturdaten'!$E$27)+(H166/'Erkrankungs- und Strukturdaten'!$C$26)&gt;0),1,((H166/'Erkrankungs- und Strukturdaten'!$C$25)*'Erkrankungs- und Strukturdaten'!$E$27)+(H166/'Erkrankungs- und Strukturdaten'!$C$26))</f>
        <v>0</v>
      </c>
      <c r="P166" s="5">
        <f>ROUNDUP(((I166/'Erkrankungs- und Strukturdaten'!$C$28)*'Erkrankungs- und Strukturdaten'!$E$30)+(I166/'Erkrankungs- und Strukturdaten'!$C$29),0)</f>
        <v>0</v>
      </c>
      <c r="Q166" s="5">
        <f>ROUNDUP((H166/'Erkrankungs- und Strukturdaten'!$C$34*'Erkrankungs- und Strukturdaten'!$E$36)+(H166/'Erkrankungs- und Strukturdaten'!$C$35),0)</f>
        <v>0</v>
      </c>
      <c r="R166" s="5">
        <f>ROUNDUP((I166*'Erkrankungs- und Strukturdaten'!$C$40/'Erkrankungs- und Strukturdaten'!$C$38*'Erkrankungs- und Strukturdaten'!$E$39)+(I166*(1-'Erkrankungs- und Strukturdaten'!$C$40)/'Erkrankungs- und Strukturdaten'!$C$37*'Erkrankungs- und Strukturdaten'!$E$39),0)</f>
        <v>0</v>
      </c>
      <c r="S166" s="52"/>
      <c r="U166" s="44">
        <f>((H166/'Erkrankungs- und Strukturdaten'!$C$25)*'Erkrankungs- und Strukturdaten'!$E$27*'Erkrankungs- und Strukturdaten'!$F$27)+(H166/'Erkrankungs- und Strukturdaten'!$C$26*'Erkrankungs- und Strukturdaten'!$G$27)</f>
        <v>0</v>
      </c>
      <c r="V166" s="44">
        <f>(I166/'Erkrankungs- und Strukturdaten'!$C$28*'Erkrankungs- und Strukturdaten'!$E$30*'Erkrankungs- und Strukturdaten'!$F$30)+(I166/'Erkrankungs- und Strukturdaten'!$C$29*'Erkrankungs- und Strukturdaten'!$G$30)</f>
        <v>0</v>
      </c>
      <c r="AB166" s="2">
        <f t="shared" si="7"/>
        <v>44443</v>
      </c>
    </row>
    <row r="167" spans="1:28" ht="15" x14ac:dyDescent="0.2">
      <c r="A167" s="42">
        <v>158</v>
      </c>
      <c r="B167" s="375"/>
      <c r="C167" s="27">
        <f t="shared" si="5"/>
        <v>44444</v>
      </c>
      <c r="D167" s="6">
        <f>SUMIF('Fallzahlen (Berechnung)'!D:D,"&lt;="&amp;Prognoseergebnis!C167,'Fallzahlen (Berechnung)'!E:E)-'Fallzahlen (Berechnung)'!$E$1</f>
        <v>698897.79656085023</v>
      </c>
      <c r="E167" s="114" t="e">
        <f>VLOOKUP(C167,'Fallzahlen (Berechnung)'!$D:$E,'Fallzahlen (Berechnung)'!$E$1,FALSE)</f>
        <v>#N/A</v>
      </c>
      <c r="G167" s="18">
        <v>158</v>
      </c>
      <c r="H167" s="6">
        <f>ROUND('Erkrankungs- und Strukturdaten'!$C$8*D167-IF(G167&gt;'Erkrankungs- und Strukturdaten'!$C$14,VLOOKUP(Prognoseergebnis!G167-ROUNDDOWN('Erkrankungs- und Strukturdaten'!$C$14,0),$A:$D,$D$6,FALSE)*'Erkrankungs- und Strukturdaten'!$C$8,0)
+IF(G167&gt;'Erkrankungs- und Strukturdaten'!$C$15,VLOOKUP(Prognoseergebnis!G167-ROUNDDOWN('Erkrankungs- und Strukturdaten'!$C$15,0),A:D,$D$6,FALSE)*'Erkrankungs- und Strukturdaten'!$C$9,0)
-IF(G167&gt;'Erkrankungs- und Strukturdaten'!$C$15+'Erkrankungs- und Strukturdaten'!$C$16,VLOOKUP(Prognoseergebnis!G167-ROUNDDOWN('Erkrankungs- und Strukturdaten'!$C$15-'Erkrankungs- und Strukturdaten'!$C$16,0),A:D,$D$6,FALSE)*'Erkrankungs- und Strukturdaten'!$C$9,0),0)</f>
        <v>0</v>
      </c>
      <c r="I167" s="6">
        <f>ROUND('Erkrankungs- und Strukturdaten'!$C$9*D167-IF(G167&gt;'Erkrankungs- und Strukturdaten'!$C$15,VLOOKUP(Prognoseergebnis!G167-'Erkrankungs- und Strukturdaten'!$C$15,$A:$D,$D$6,FALSE)*'Erkrankungs- und Strukturdaten'!$C$9,0),0)</f>
        <v>0</v>
      </c>
      <c r="J167" s="6">
        <f>I167*'Erkrankungs- und Strukturdaten'!$C$10/'Erkrankungs- und Strukturdaten'!$C$9</f>
        <v>0</v>
      </c>
      <c r="K167" s="6">
        <f>I167*'Erkrankungs- und Strukturdaten'!$C$21</f>
        <v>0</v>
      </c>
      <c r="L167" s="11"/>
      <c r="M167" s="82">
        <f>SUM($K$66:K167)</f>
        <v>53620</v>
      </c>
      <c r="N167" s="9"/>
      <c r="O167" s="6">
        <f>IF(AND(((H167/'Erkrankungs- und Strukturdaten'!$C$25)*'Erkrankungs- und Strukturdaten'!$E$27)+(H167/'Erkrankungs- und Strukturdaten'!$C$26)&lt;1,((H167/'Erkrankungs- und Strukturdaten'!$C$25)*'Erkrankungs- und Strukturdaten'!$E$27)+(H167/'Erkrankungs- und Strukturdaten'!$C$26)&gt;0),1,((H167/'Erkrankungs- und Strukturdaten'!$C$25)*'Erkrankungs- und Strukturdaten'!$E$27)+(H167/'Erkrankungs- und Strukturdaten'!$C$26))</f>
        <v>0</v>
      </c>
      <c r="P167" s="6">
        <f>ROUNDUP(((I167/'Erkrankungs- und Strukturdaten'!$C$28)*'Erkrankungs- und Strukturdaten'!$E$30)+(I167/'Erkrankungs- und Strukturdaten'!$C$29),0)</f>
        <v>0</v>
      </c>
      <c r="Q167" s="6">
        <f>ROUNDUP((H167/'Erkrankungs- und Strukturdaten'!$C$34*'Erkrankungs- und Strukturdaten'!$E$36)+(H167/'Erkrankungs- und Strukturdaten'!$C$35),0)</f>
        <v>0</v>
      </c>
      <c r="R167" s="6">
        <f>ROUNDUP((I167*'Erkrankungs- und Strukturdaten'!$C$40/'Erkrankungs- und Strukturdaten'!$C$38*'Erkrankungs- und Strukturdaten'!$E$39)+(I167*(1-'Erkrankungs- und Strukturdaten'!$C$40)/'Erkrankungs- und Strukturdaten'!$C$37*'Erkrankungs- und Strukturdaten'!$E$39),0)</f>
        <v>0</v>
      </c>
      <c r="S167" s="52"/>
      <c r="U167" s="44">
        <f>((H167/'Erkrankungs- und Strukturdaten'!$C$25)*'Erkrankungs- und Strukturdaten'!$E$27*'Erkrankungs- und Strukturdaten'!$F$27)+(H167/'Erkrankungs- und Strukturdaten'!$C$26*'Erkrankungs- und Strukturdaten'!$G$27)</f>
        <v>0</v>
      </c>
      <c r="V167" s="44">
        <f>(I167/'Erkrankungs- und Strukturdaten'!$C$28*'Erkrankungs- und Strukturdaten'!$E$30*'Erkrankungs- und Strukturdaten'!$F$30)+(I167/'Erkrankungs- und Strukturdaten'!$C$29*'Erkrankungs- und Strukturdaten'!$G$30)</f>
        <v>0</v>
      </c>
      <c r="AB167" s="2">
        <f t="shared" si="7"/>
        <v>44444</v>
      </c>
    </row>
    <row r="168" spans="1:28" ht="15" x14ac:dyDescent="0.2">
      <c r="A168" s="42">
        <v>159</v>
      </c>
      <c r="B168" s="375"/>
      <c r="C168" s="28">
        <f t="shared" si="5"/>
        <v>44445</v>
      </c>
      <c r="D168" s="5">
        <f>SUMIF('Fallzahlen (Berechnung)'!D:D,"&lt;="&amp;Prognoseergebnis!C168,'Fallzahlen (Berechnung)'!E:E)-'Fallzahlen (Berechnung)'!$E$1</f>
        <v>698897.79656085023</v>
      </c>
      <c r="E168" s="115" t="e">
        <f>VLOOKUP(C168,'Fallzahlen (Berechnung)'!$D:$E,'Fallzahlen (Berechnung)'!$E$1,FALSE)</f>
        <v>#N/A</v>
      </c>
      <c r="G168" s="18">
        <v>159</v>
      </c>
      <c r="H168" s="5">
        <f>ROUND('Erkrankungs- und Strukturdaten'!$C$8*D168-IF(G168&gt;'Erkrankungs- und Strukturdaten'!$C$14,VLOOKUP(Prognoseergebnis!G168-ROUNDDOWN('Erkrankungs- und Strukturdaten'!$C$14,0),$A:$D,$D$6,FALSE)*'Erkrankungs- und Strukturdaten'!$C$8,0)
+IF(G168&gt;'Erkrankungs- und Strukturdaten'!$C$15,VLOOKUP(Prognoseergebnis!G168-ROUNDDOWN('Erkrankungs- und Strukturdaten'!$C$15,0),A:D,$D$6,FALSE)*'Erkrankungs- und Strukturdaten'!$C$9,0)
-IF(G168&gt;'Erkrankungs- und Strukturdaten'!$C$15+'Erkrankungs- und Strukturdaten'!$C$16,VLOOKUP(Prognoseergebnis!G168-ROUNDDOWN('Erkrankungs- und Strukturdaten'!$C$15-'Erkrankungs- und Strukturdaten'!$C$16,0),A:D,$D$6,FALSE)*'Erkrankungs- und Strukturdaten'!$C$9,0),0)</f>
        <v>0</v>
      </c>
      <c r="I168" s="5">
        <f>ROUND('Erkrankungs- und Strukturdaten'!$C$9*D168-IF(G168&gt;'Erkrankungs- und Strukturdaten'!$C$15,VLOOKUP(Prognoseergebnis!G168-'Erkrankungs- und Strukturdaten'!$C$15,$A:$D,$D$6,FALSE)*'Erkrankungs- und Strukturdaten'!$C$9,0),0)</f>
        <v>0</v>
      </c>
      <c r="J168" s="5">
        <f>I168*'Erkrankungs- und Strukturdaten'!$C$10/'Erkrankungs- und Strukturdaten'!$C$9</f>
        <v>0</v>
      </c>
      <c r="K168" s="5">
        <f>I168*'Erkrankungs- und Strukturdaten'!$C$21</f>
        <v>0</v>
      </c>
      <c r="L168" s="11"/>
      <c r="M168" s="82">
        <f>SUM($K$66:K168)</f>
        <v>53620</v>
      </c>
      <c r="N168" s="9"/>
      <c r="O168" s="5">
        <f>IF(AND(((H168/'Erkrankungs- und Strukturdaten'!$C$25)*'Erkrankungs- und Strukturdaten'!$E$27)+(H168/'Erkrankungs- und Strukturdaten'!$C$26)&lt;1,((H168/'Erkrankungs- und Strukturdaten'!$C$25)*'Erkrankungs- und Strukturdaten'!$E$27)+(H168/'Erkrankungs- und Strukturdaten'!$C$26)&gt;0),1,((H168/'Erkrankungs- und Strukturdaten'!$C$25)*'Erkrankungs- und Strukturdaten'!$E$27)+(H168/'Erkrankungs- und Strukturdaten'!$C$26))</f>
        <v>0</v>
      </c>
      <c r="P168" s="5">
        <f>ROUNDUP(((I168/'Erkrankungs- und Strukturdaten'!$C$28)*'Erkrankungs- und Strukturdaten'!$E$30)+(I168/'Erkrankungs- und Strukturdaten'!$C$29),0)</f>
        <v>0</v>
      </c>
      <c r="Q168" s="5">
        <f>ROUNDUP((H168/'Erkrankungs- und Strukturdaten'!$C$34*'Erkrankungs- und Strukturdaten'!$E$36)+(H168/'Erkrankungs- und Strukturdaten'!$C$35),0)</f>
        <v>0</v>
      </c>
      <c r="R168" s="5">
        <f>ROUNDUP((I168*'Erkrankungs- und Strukturdaten'!$C$40/'Erkrankungs- und Strukturdaten'!$C$38*'Erkrankungs- und Strukturdaten'!$E$39)+(I168*(1-'Erkrankungs- und Strukturdaten'!$C$40)/'Erkrankungs- und Strukturdaten'!$C$37*'Erkrankungs- und Strukturdaten'!$E$39),0)</f>
        <v>0</v>
      </c>
      <c r="S168" s="52"/>
      <c r="U168" s="44">
        <f>((H168/'Erkrankungs- und Strukturdaten'!$C$25)*'Erkrankungs- und Strukturdaten'!$E$27*'Erkrankungs- und Strukturdaten'!$F$27)+(H168/'Erkrankungs- und Strukturdaten'!$C$26*'Erkrankungs- und Strukturdaten'!$G$27)</f>
        <v>0</v>
      </c>
      <c r="V168" s="44">
        <f>(I168/'Erkrankungs- und Strukturdaten'!$C$28*'Erkrankungs- und Strukturdaten'!$E$30*'Erkrankungs- und Strukturdaten'!$F$30)+(I168/'Erkrankungs- und Strukturdaten'!$C$29*'Erkrankungs- und Strukturdaten'!$G$30)</f>
        <v>0</v>
      </c>
      <c r="AB168" s="2">
        <f t="shared" si="7"/>
        <v>44445</v>
      </c>
    </row>
    <row r="169" spans="1:28" ht="15" x14ac:dyDescent="0.2">
      <c r="A169" s="42">
        <v>160</v>
      </c>
      <c r="B169" s="375"/>
      <c r="C169" s="27">
        <f t="shared" si="5"/>
        <v>44446</v>
      </c>
      <c r="D169" s="6">
        <f>SUMIF('Fallzahlen (Berechnung)'!D:D,"&lt;="&amp;Prognoseergebnis!C169,'Fallzahlen (Berechnung)'!E:E)-'Fallzahlen (Berechnung)'!$E$1</f>
        <v>698897.79656085023</v>
      </c>
      <c r="E169" s="114" t="e">
        <f>VLOOKUP(C169,'Fallzahlen (Berechnung)'!$D:$E,'Fallzahlen (Berechnung)'!$E$1,FALSE)</f>
        <v>#N/A</v>
      </c>
      <c r="G169" s="18">
        <v>160</v>
      </c>
      <c r="H169" s="6">
        <f>ROUND('Erkrankungs- und Strukturdaten'!$C$8*D169-IF(G169&gt;'Erkrankungs- und Strukturdaten'!$C$14,VLOOKUP(Prognoseergebnis!G169-ROUNDDOWN('Erkrankungs- und Strukturdaten'!$C$14,0),$A:$D,$D$6,FALSE)*'Erkrankungs- und Strukturdaten'!$C$8,0)
+IF(G169&gt;'Erkrankungs- und Strukturdaten'!$C$15,VLOOKUP(Prognoseergebnis!G169-ROUNDDOWN('Erkrankungs- und Strukturdaten'!$C$15,0),A:D,$D$6,FALSE)*'Erkrankungs- und Strukturdaten'!$C$9,0)
-IF(G169&gt;'Erkrankungs- und Strukturdaten'!$C$15+'Erkrankungs- und Strukturdaten'!$C$16,VLOOKUP(Prognoseergebnis!G169-ROUNDDOWN('Erkrankungs- und Strukturdaten'!$C$15-'Erkrankungs- und Strukturdaten'!$C$16,0),A:D,$D$6,FALSE)*'Erkrankungs- und Strukturdaten'!$C$9,0),0)</f>
        <v>0</v>
      </c>
      <c r="I169" s="6">
        <f>ROUND('Erkrankungs- und Strukturdaten'!$C$9*D169-IF(G169&gt;'Erkrankungs- und Strukturdaten'!$C$15,VLOOKUP(Prognoseergebnis!G169-'Erkrankungs- und Strukturdaten'!$C$15,$A:$D,$D$6,FALSE)*'Erkrankungs- und Strukturdaten'!$C$9,0),0)</f>
        <v>0</v>
      </c>
      <c r="J169" s="6">
        <f>I169*'Erkrankungs- und Strukturdaten'!$C$10/'Erkrankungs- und Strukturdaten'!$C$9</f>
        <v>0</v>
      </c>
      <c r="K169" s="6">
        <f>I169*'Erkrankungs- und Strukturdaten'!$C$21</f>
        <v>0</v>
      </c>
      <c r="L169" s="11"/>
      <c r="M169" s="82">
        <f>SUM($K$66:K169)</f>
        <v>53620</v>
      </c>
      <c r="N169" s="9"/>
      <c r="O169" s="6">
        <f>IF(AND(((H169/'Erkrankungs- und Strukturdaten'!$C$25)*'Erkrankungs- und Strukturdaten'!$E$27)+(H169/'Erkrankungs- und Strukturdaten'!$C$26)&lt;1,((H169/'Erkrankungs- und Strukturdaten'!$C$25)*'Erkrankungs- und Strukturdaten'!$E$27)+(H169/'Erkrankungs- und Strukturdaten'!$C$26)&gt;0),1,((H169/'Erkrankungs- und Strukturdaten'!$C$25)*'Erkrankungs- und Strukturdaten'!$E$27)+(H169/'Erkrankungs- und Strukturdaten'!$C$26))</f>
        <v>0</v>
      </c>
      <c r="P169" s="6">
        <f>ROUNDUP(((I169/'Erkrankungs- und Strukturdaten'!$C$28)*'Erkrankungs- und Strukturdaten'!$E$30)+(I169/'Erkrankungs- und Strukturdaten'!$C$29),0)</f>
        <v>0</v>
      </c>
      <c r="Q169" s="6">
        <f>ROUNDUP((H169/'Erkrankungs- und Strukturdaten'!$C$34*'Erkrankungs- und Strukturdaten'!$E$36)+(H169/'Erkrankungs- und Strukturdaten'!$C$35),0)</f>
        <v>0</v>
      </c>
      <c r="R169" s="6">
        <f>ROUNDUP((I169*'Erkrankungs- und Strukturdaten'!$C$40/'Erkrankungs- und Strukturdaten'!$C$38*'Erkrankungs- und Strukturdaten'!$E$39)+(I169*(1-'Erkrankungs- und Strukturdaten'!$C$40)/'Erkrankungs- und Strukturdaten'!$C$37*'Erkrankungs- und Strukturdaten'!$E$39),0)</f>
        <v>0</v>
      </c>
      <c r="S169" s="52"/>
      <c r="U169" s="44">
        <f>((H169/'Erkrankungs- und Strukturdaten'!$C$25)*'Erkrankungs- und Strukturdaten'!$E$27*'Erkrankungs- und Strukturdaten'!$F$27)+(H169/'Erkrankungs- und Strukturdaten'!$C$26*'Erkrankungs- und Strukturdaten'!$G$27)</f>
        <v>0</v>
      </c>
      <c r="V169" s="44">
        <f>(I169/'Erkrankungs- und Strukturdaten'!$C$28*'Erkrankungs- und Strukturdaten'!$E$30*'Erkrankungs- und Strukturdaten'!$F$30)+(I169/'Erkrankungs- und Strukturdaten'!$C$29*'Erkrankungs- und Strukturdaten'!$G$30)</f>
        <v>0</v>
      </c>
      <c r="AB169" s="2">
        <f t="shared" si="7"/>
        <v>44446</v>
      </c>
    </row>
    <row r="170" spans="1:28" ht="15" x14ac:dyDescent="0.2">
      <c r="A170" s="42">
        <v>161</v>
      </c>
      <c r="B170" s="375"/>
      <c r="C170" s="29">
        <f t="shared" si="5"/>
        <v>44447</v>
      </c>
      <c r="D170" s="30">
        <f>SUMIF('Fallzahlen (Berechnung)'!D:D,"&lt;="&amp;Prognoseergebnis!C170,'Fallzahlen (Berechnung)'!E:E)-'Fallzahlen (Berechnung)'!$E$1</f>
        <v>698897.79656085023</v>
      </c>
      <c r="E170" s="117" t="e">
        <f>VLOOKUP(C170,'Fallzahlen (Berechnung)'!$D:$E,'Fallzahlen (Berechnung)'!$E$1,FALSE)</f>
        <v>#N/A</v>
      </c>
      <c r="G170" s="18">
        <v>161</v>
      </c>
      <c r="H170" s="30">
        <f>ROUND('Erkrankungs- und Strukturdaten'!$C$8*D170-IF(G170&gt;'Erkrankungs- und Strukturdaten'!$C$14,VLOOKUP(Prognoseergebnis!G170-ROUNDDOWN('Erkrankungs- und Strukturdaten'!$C$14,0),$A:$D,$D$6,FALSE)*'Erkrankungs- und Strukturdaten'!$C$8,0)
+IF(G170&gt;'Erkrankungs- und Strukturdaten'!$C$15,VLOOKUP(Prognoseergebnis!G170-ROUNDDOWN('Erkrankungs- und Strukturdaten'!$C$15,0),A:D,$D$6,FALSE)*'Erkrankungs- und Strukturdaten'!$C$9,0)
-IF(G170&gt;'Erkrankungs- und Strukturdaten'!$C$15+'Erkrankungs- und Strukturdaten'!$C$16,VLOOKUP(Prognoseergebnis!G170-ROUNDDOWN('Erkrankungs- und Strukturdaten'!$C$15-'Erkrankungs- und Strukturdaten'!$C$16,0),A:D,$D$6,FALSE)*'Erkrankungs- und Strukturdaten'!$C$9,0),0)</f>
        <v>0</v>
      </c>
      <c r="I170" s="30">
        <f>ROUND('Erkrankungs- und Strukturdaten'!$C$9*D170-IF(G170&gt;'Erkrankungs- und Strukturdaten'!$C$15,VLOOKUP(Prognoseergebnis!G170-'Erkrankungs- und Strukturdaten'!$C$15,$A:$D,$D$6,FALSE)*'Erkrankungs- und Strukturdaten'!$C$9,0),0)</f>
        <v>0</v>
      </c>
      <c r="J170" s="30">
        <f>I170*'Erkrankungs- und Strukturdaten'!$C$10/'Erkrankungs- und Strukturdaten'!$C$9</f>
        <v>0</v>
      </c>
      <c r="K170" s="30">
        <f>I170*'Erkrankungs- und Strukturdaten'!$C$21</f>
        <v>0</v>
      </c>
      <c r="L170" s="11"/>
      <c r="M170" s="82">
        <f>SUM($K$66:K170)</f>
        <v>53620</v>
      </c>
      <c r="N170" s="9"/>
      <c r="O170" s="30">
        <f>IF(AND(((H170/'Erkrankungs- und Strukturdaten'!$C$25)*'Erkrankungs- und Strukturdaten'!$E$27)+(H170/'Erkrankungs- und Strukturdaten'!$C$26)&lt;1,((H170/'Erkrankungs- und Strukturdaten'!$C$25)*'Erkrankungs- und Strukturdaten'!$E$27)+(H170/'Erkrankungs- und Strukturdaten'!$C$26)&gt;0),1,((H170/'Erkrankungs- und Strukturdaten'!$C$25)*'Erkrankungs- und Strukturdaten'!$E$27)+(H170/'Erkrankungs- und Strukturdaten'!$C$26))</f>
        <v>0</v>
      </c>
      <c r="P170" s="30">
        <f>ROUNDUP(((I170/'Erkrankungs- und Strukturdaten'!$C$28)*'Erkrankungs- und Strukturdaten'!$E$30)+(I170/'Erkrankungs- und Strukturdaten'!$C$29),0)</f>
        <v>0</v>
      </c>
      <c r="Q170" s="30">
        <f>ROUNDUP((H170/'Erkrankungs- und Strukturdaten'!$C$34*'Erkrankungs- und Strukturdaten'!$E$36)+(H170/'Erkrankungs- und Strukturdaten'!$C$35),0)</f>
        <v>0</v>
      </c>
      <c r="R170" s="30">
        <f>ROUNDUP((I170*'Erkrankungs- und Strukturdaten'!$C$40/'Erkrankungs- und Strukturdaten'!$C$38*'Erkrankungs- und Strukturdaten'!$E$39)+(I170*(1-'Erkrankungs- und Strukturdaten'!$C$40)/'Erkrankungs- und Strukturdaten'!$C$37*'Erkrankungs- und Strukturdaten'!$E$39),0)</f>
        <v>0</v>
      </c>
      <c r="S170" s="52"/>
      <c r="U170" s="44">
        <f>((H170/'Erkrankungs- und Strukturdaten'!$C$25)*'Erkrankungs- und Strukturdaten'!$E$27*'Erkrankungs- und Strukturdaten'!$F$27)+(H170/'Erkrankungs- und Strukturdaten'!$C$26*'Erkrankungs- und Strukturdaten'!$G$27)</f>
        <v>0</v>
      </c>
      <c r="V170" s="44">
        <f>(I170/'Erkrankungs- und Strukturdaten'!$C$28*'Erkrankungs- und Strukturdaten'!$E$30*'Erkrankungs- und Strukturdaten'!$F$30)+(I170/'Erkrankungs- und Strukturdaten'!$C$29*'Erkrankungs- und Strukturdaten'!$G$30)</f>
        <v>0</v>
      </c>
      <c r="AB170" s="2">
        <f t="shared" si="7"/>
        <v>44447</v>
      </c>
    </row>
    <row r="171" spans="1:28" ht="8.25" customHeight="1" x14ac:dyDescent="0.2">
      <c r="G171" s="183"/>
      <c r="H171" s="183"/>
      <c r="I171" s="183"/>
      <c r="J171" s="183"/>
      <c r="K171" s="183"/>
      <c r="L171" s="183"/>
      <c r="N171" s="184"/>
      <c r="O171" s="184"/>
      <c r="P171" s="184"/>
      <c r="Q171" s="184"/>
      <c r="R171" s="184"/>
      <c r="S171" s="184"/>
    </row>
  </sheetData>
  <sheetProtection password="8C78" sheet="1" objects="1" scenarios="1"/>
  <mergeCells count="38">
    <mergeCell ref="B150:B156"/>
    <mergeCell ref="B157:B163"/>
    <mergeCell ref="B164:B170"/>
    <mergeCell ref="B80:B86"/>
    <mergeCell ref="B87:B93"/>
    <mergeCell ref="B129:B135"/>
    <mergeCell ref="B94:B100"/>
    <mergeCell ref="B101:B107"/>
    <mergeCell ref="B108:B114"/>
    <mergeCell ref="B115:B121"/>
    <mergeCell ref="B122:B128"/>
    <mergeCell ref="Q1:Q4"/>
    <mergeCell ref="B7:E7"/>
    <mergeCell ref="B59:B65"/>
    <mergeCell ref="D8:D9"/>
    <mergeCell ref="E8:E9"/>
    <mergeCell ref="H8:H9"/>
    <mergeCell ref="B3:C3"/>
    <mergeCell ref="B38:B44"/>
    <mergeCell ref="B45:B51"/>
    <mergeCell ref="B52:B58"/>
    <mergeCell ref="B8:C9"/>
    <mergeCell ref="O7:R7"/>
    <mergeCell ref="K8:K9"/>
    <mergeCell ref="O8:P8"/>
    <mergeCell ref="Q8:R8"/>
    <mergeCell ref="I8:I9"/>
    <mergeCell ref="H7:K7"/>
    <mergeCell ref="B73:B79"/>
    <mergeCell ref="B1:L2"/>
    <mergeCell ref="B136:B142"/>
    <mergeCell ref="B143:B149"/>
    <mergeCell ref="B66:B72"/>
    <mergeCell ref="J8:J9"/>
    <mergeCell ref="B10:B16"/>
    <mergeCell ref="B17:B23"/>
    <mergeCell ref="B24:B30"/>
    <mergeCell ref="B31:B37"/>
  </mergeCells>
  <pageMargins left="0.78740157480314965" right="0.78740157480314965" top="0.98425196850393704" bottom="0.98425196850393704" header="0.59055118110236227" footer="0.51181102362204722"/>
  <pageSetup paperSize="9" scale="35" orientation="landscape" r:id="rId1"/>
  <headerFooter alignWithMargins="0">
    <oddFooter>&amp;C_____________________________________________________________________________
www.zeq.de | info@zeq.de
&amp;R&amp;P</oddFooter>
  </headerFooter>
  <colBreaks count="1" manualBreakCount="1">
    <brk id="6" max="1048575" man="1"/>
  </colBreaks>
  <drawing r:id="rId2"/>
  <extLst>
    <ext xmlns:x14="http://schemas.microsoft.com/office/spreadsheetml/2009/9/main" uri="{78C0D931-6437-407d-A8EE-F0AAD7539E65}">
      <x14:conditionalFormattings>
        <x14:conditionalFormatting xmlns:xm="http://schemas.microsoft.com/office/excel/2006/main">
          <x14:cfRule type="expression" priority="1" id="{A488F687-B0BE-4FCB-9CE4-C51EAE5DDF75}">
            <xm:f>(Stammdaten!$B$1="Schweiz")</xm:f>
            <x14:dxf>
              <fill>
                <patternFill>
                  <bgColor rgb="FFFF0000"/>
                </patternFill>
              </fill>
              <border>
                <left/>
                <right/>
                <top/>
                <bottom/>
                <vertical/>
                <horizontal/>
              </border>
            </x14:dxf>
          </x14:cfRule>
          <xm:sqref>Q1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tabColor rgb="FFC00000"/>
    <pageSetUpPr fitToPage="1"/>
  </sheetPr>
  <dimension ref="B1:BA266"/>
  <sheetViews>
    <sheetView showGridLines="0" topLeftCell="A9" zoomScale="60" zoomScaleNormal="60" zoomScaleSheetLayoutView="40" zoomScalePageLayoutView="30" workbookViewId="0">
      <selection activeCell="Z39" sqref="Z39"/>
    </sheetView>
  </sheetViews>
  <sheetFormatPr baseColWidth="10" defaultRowHeight="12.75" x14ac:dyDescent="0.2"/>
  <cols>
    <col min="1" max="1" width="3.5703125" customWidth="1"/>
    <col min="13" max="14" width="2.42578125" customWidth="1"/>
    <col min="16" max="16" width="11.5703125" customWidth="1"/>
    <col min="17" max="25" width="11.5703125" style="81"/>
    <col min="26" max="27" width="2.42578125" style="81" customWidth="1"/>
    <col min="28" max="33" width="11.5703125" style="81" customWidth="1"/>
    <col min="34" max="35" width="11.5703125" style="81"/>
    <col min="36" max="38" width="11.5703125" style="81" customWidth="1"/>
    <col min="39" max="39" width="2.140625" style="81" customWidth="1"/>
    <col min="40" max="50" width="11.5703125" style="35"/>
    <col min="51" max="53" width="11.5703125" style="143"/>
  </cols>
  <sheetData>
    <row r="1" spans="2:47" ht="14.85" customHeight="1" x14ac:dyDescent="0.2">
      <c r="B1" s="387" t="s">
        <v>207</v>
      </c>
      <c r="C1" s="387"/>
      <c r="D1" s="387"/>
      <c r="E1" s="387"/>
      <c r="F1" s="387"/>
      <c r="G1" s="387"/>
      <c r="H1" s="387"/>
      <c r="I1" s="387"/>
      <c r="J1" s="387"/>
      <c r="K1" s="387"/>
      <c r="L1" s="387"/>
      <c r="M1" s="387"/>
      <c r="N1" s="387"/>
      <c r="O1" s="387"/>
      <c r="P1" s="387"/>
      <c r="Q1" s="387"/>
      <c r="R1" s="387"/>
      <c r="AG1" s="400" t="s">
        <v>120</v>
      </c>
      <c r="AH1" s="400"/>
      <c r="AK1" s="103"/>
      <c r="AR1" s="388" t="s">
        <v>15</v>
      </c>
      <c r="AS1" s="388"/>
    </row>
    <row r="2" spans="2:47" ht="14.85" customHeight="1" x14ac:dyDescent="0.2">
      <c r="B2" s="387"/>
      <c r="C2" s="387"/>
      <c r="D2" s="387"/>
      <c r="E2" s="387"/>
      <c r="F2" s="387"/>
      <c r="G2" s="387"/>
      <c r="H2" s="387"/>
      <c r="I2" s="387"/>
      <c r="J2" s="387"/>
      <c r="K2" s="387"/>
      <c r="L2" s="387"/>
      <c r="M2" s="387"/>
      <c r="N2" s="387"/>
      <c r="O2" s="387"/>
      <c r="P2" s="387"/>
      <c r="Q2" s="387"/>
      <c r="R2" s="387"/>
      <c r="AG2" s="400"/>
      <c r="AH2" s="400"/>
      <c r="AK2" s="103"/>
      <c r="AR2" s="35" t="s">
        <v>45</v>
      </c>
      <c r="AS2" s="79">
        <f>LARGE(Prognoseergebnis!H66:H135,1)</f>
        <v>645</v>
      </c>
      <c r="AT2" s="79" t="str">
        <f>"Peak: "&amp;TEXT(AS2,"#.##0")</f>
        <v>Peak: 645</v>
      </c>
      <c r="AU2" s="35" t="str">
        <f>AT2&amp;AT3</f>
        <v>Peak: 645 am 27.05</v>
      </c>
    </row>
    <row r="3" spans="2:47" ht="14.85" customHeight="1" x14ac:dyDescent="0.25">
      <c r="B3" s="387" t="s">
        <v>208</v>
      </c>
      <c r="C3" s="387"/>
      <c r="D3" s="387"/>
      <c r="E3" s="387"/>
      <c r="F3" s="387"/>
      <c r="G3" s="387"/>
      <c r="H3" s="387"/>
      <c r="I3" s="387"/>
      <c r="J3" s="387"/>
      <c r="K3" s="387"/>
      <c r="L3" s="387"/>
      <c r="M3" s="387"/>
      <c r="N3" s="387"/>
      <c r="O3" s="387"/>
      <c r="P3" s="387"/>
      <c r="Q3" s="387"/>
      <c r="R3" s="387"/>
      <c r="S3" s="105"/>
      <c r="AG3" s="400"/>
      <c r="AH3" s="400"/>
      <c r="AK3" s="103"/>
      <c r="AR3" s="35" t="s">
        <v>44</v>
      </c>
      <c r="AS3" s="80">
        <f>VLOOKUP(AS2,Prognoseergebnis!H:AB,21,FALSE)</f>
        <v>44343</v>
      </c>
      <c r="AT3" s="35" t="str">
        <f>" am "&amp;TEXT(AS3,"TT.MM")</f>
        <v xml:space="preserve"> am 27.05</v>
      </c>
    </row>
    <row r="4" spans="2:47" ht="12.75" customHeight="1" x14ac:dyDescent="0.25">
      <c r="B4" s="387"/>
      <c r="C4" s="387"/>
      <c r="D4" s="387"/>
      <c r="E4" s="387"/>
      <c r="F4" s="387"/>
      <c r="G4" s="387"/>
      <c r="H4" s="387"/>
      <c r="I4" s="387"/>
      <c r="J4" s="387"/>
      <c r="K4" s="387"/>
      <c r="L4" s="387"/>
      <c r="M4" s="387"/>
      <c r="N4" s="387"/>
      <c r="O4" s="387"/>
      <c r="P4" s="387"/>
      <c r="Q4" s="387"/>
      <c r="R4" s="387"/>
      <c r="S4" s="105"/>
      <c r="AG4" s="400"/>
      <c r="AH4" s="400"/>
      <c r="AI4" s="104"/>
      <c r="AJ4" s="104"/>
    </row>
    <row r="5" spans="2:47" ht="12.75" customHeight="1" x14ac:dyDescent="0.25">
      <c r="B5" s="387"/>
      <c r="C5" s="387"/>
      <c r="D5" s="387"/>
      <c r="E5" s="387"/>
      <c r="F5" s="387"/>
      <c r="G5" s="387"/>
      <c r="H5" s="387"/>
      <c r="I5" s="387"/>
      <c r="J5" s="387"/>
      <c r="K5" s="387"/>
      <c r="L5" s="387"/>
      <c r="M5" s="387"/>
      <c r="N5" s="387"/>
      <c r="O5" s="387"/>
      <c r="P5" s="387"/>
      <c r="Q5" s="387"/>
      <c r="R5" s="387"/>
      <c r="S5" s="105"/>
      <c r="V5" s="399"/>
      <c r="W5" s="399"/>
      <c r="X5" s="399"/>
      <c r="AG5" s="400"/>
      <c r="AH5" s="400"/>
      <c r="AR5" s="35" t="s">
        <v>17</v>
      </c>
    </row>
    <row r="6" spans="2:47" ht="13.15" customHeight="1" x14ac:dyDescent="0.25">
      <c r="B6" s="387"/>
      <c r="C6" s="387"/>
      <c r="D6" s="387"/>
      <c r="E6" s="387"/>
      <c r="F6" s="387"/>
      <c r="G6" s="387"/>
      <c r="H6" s="387"/>
      <c r="I6" s="387"/>
      <c r="J6" s="387"/>
      <c r="K6" s="387"/>
      <c r="L6" s="387"/>
      <c r="M6" s="387"/>
      <c r="N6" s="387"/>
      <c r="O6" s="387"/>
      <c r="P6" s="387"/>
      <c r="Q6" s="387"/>
      <c r="R6" s="387"/>
      <c r="S6" s="105"/>
      <c r="V6" s="399"/>
      <c r="W6" s="399"/>
      <c r="X6" s="399"/>
      <c r="AG6" s="400"/>
      <c r="AH6" s="400"/>
      <c r="AI6" s="398" t="s">
        <v>123</v>
      </c>
      <c r="AJ6" s="398"/>
      <c r="AK6" s="398"/>
      <c r="AL6" s="398"/>
      <c r="AR6" s="35" t="s">
        <v>46</v>
      </c>
      <c r="AS6" s="35">
        <f>LARGE(Prognoseergebnis!I66:I135,1)</f>
        <v>153</v>
      </c>
      <c r="AT6" s="35" t="str">
        <f>"Peak: "&amp;TEXT(AS6,"#.##0")</f>
        <v>Peak: 153</v>
      </c>
      <c r="AU6" s="35" t="str">
        <f>AT6&amp;AT7</f>
        <v>Peak: 153 am 27.05</v>
      </c>
    </row>
    <row r="7" spans="2:47" ht="12.95" customHeight="1" x14ac:dyDescent="0.2">
      <c r="B7" s="386" t="str">
        <f>IF(Prognoseparameter!C19="","","Covid-19-Entwicklung ("&amp;_Methodik&amp;"-Szenario) für "&amp;Prognoseparameter!C19)</f>
        <v/>
      </c>
      <c r="C7" s="386"/>
      <c r="D7" s="386"/>
      <c r="E7" s="386"/>
      <c r="F7" s="386"/>
      <c r="G7" s="386"/>
      <c r="H7" s="386"/>
      <c r="I7" s="386"/>
      <c r="J7" s="386"/>
      <c r="K7" s="386"/>
      <c r="L7" s="386"/>
      <c r="M7" s="386"/>
      <c r="N7" s="386"/>
      <c r="O7" s="386"/>
      <c r="P7" s="386"/>
      <c r="Q7" s="386"/>
      <c r="R7" s="386"/>
      <c r="S7" s="386"/>
      <c r="T7" s="386"/>
      <c r="U7" s="386"/>
      <c r="V7" s="386"/>
      <c r="W7" s="386"/>
      <c r="X7" s="386"/>
      <c r="Y7" s="386"/>
      <c r="AG7" s="400"/>
      <c r="AH7" s="400"/>
      <c r="AI7" s="398"/>
      <c r="AJ7" s="398"/>
      <c r="AK7" s="398"/>
      <c r="AL7" s="398"/>
      <c r="AR7" s="35" t="s">
        <v>44</v>
      </c>
      <c r="AS7" s="80">
        <f>VLOOKUP(AS6,Prognoseergebnis!I:AB,20,FALSE)</f>
        <v>44343</v>
      </c>
      <c r="AT7" s="35" t="str">
        <f>" am "&amp;TEXT(AS7,"TT.MM")</f>
        <v xml:space="preserve"> am 27.05</v>
      </c>
    </row>
    <row r="8" spans="2:47" ht="12.95" customHeight="1" x14ac:dyDescent="0.2">
      <c r="B8" s="386"/>
      <c r="C8" s="386"/>
      <c r="D8" s="386"/>
      <c r="E8" s="386"/>
      <c r="F8" s="386"/>
      <c r="G8" s="386"/>
      <c r="H8" s="386"/>
      <c r="I8" s="386"/>
      <c r="J8" s="386"/>
      <c r="K8" s="386"/>
      <c r="L8" s="386"/>
      <c r="M8" s="386"/>
      <c r="N8" s="386"/>
      <c r="O8" s="386"/>
      <c r="P8" s="386"/>
      <c r="Q8" s="386"/>
      <c r="R8" s="386"/>
      <c r="S8" s="386"/>
      <c r="T8" s="386"/>
      <c r="U8" s="386"/>
      <c r="V8" s="386"/>
      <c r="W8" s="386"/>
      <c r="X8" s="386"/>
      <c r="Y8" s="386"/>
      <c r="AI8" s="398"/>
      <c r="AJ8" s="398"/>
      <c r="AK8" s="398"/>
      <c r="AL8" s="398"/>
    </row>
    <row r="9" spans="2:47" ht="12.95" customHeight="1" x14ac:dyDescent="0.2">
      <c r="B9" s="386"/>
      <c r="C9" s="386"/>
      <c r="D9" s="386"/>
      <c r="E9" s="386"/>
      <c r="F9" s="386"/>
      <c r="G9" s="386"/>
      <c r="H9" s="386"/>
      <c r="I9" s="386"/>
      <c r="J9" s="386"/>
      <c r="K9" s="386"/>
      <c r="L9" s="386"/>
      <c r="M9" s="386"/>
      <c r="N9" s="386"/>
      <c r="O9" s="386"/>
      <c r="P9" s="386"/>
      <c r="Q9" s="386"/>
      <c r="R9" s="386"/>
      <c r="S9" s="386"/>
      <c r="T9" s="386"/>
      <c r="U9" s="386"/>
      <c r="V9" s="386"/>
      <c r="W9" s="386"/>
      <c r="X9" s="386"/>
      <c r="Y9" s="386"/>
      <c r="AI9" s="398"/>
      <c r="AJ9" s="398"/>
      <c r="AK9" s="398"/>
      <c r="AL9" s="398"/>
    </row>
    <row r="10" spans="2:47" x14ac:dyDescent="0.2">
      <c r="AI10" s="398"/>
      <c r="AJ10" s="398"/>
      <c r="AK10" s="398"/>
      <c r="AL10" s="398"/>
    </row>
    <row r="11" spans="2:47" x14ac:dyDescent="0.2">
      <c r="AI11" s="398"/>
      <c r="AJ11" s="398"/>
      <c r="AK11" s="398"/>
      <c r="AL11" s="398"/>
    </row>
    <row r="12" spans="2:47" ht="13.5" thickBot="1" x14ac:dyDescent="0.25">
      <c r="AG12" s="104"/>
      <c r="AH12" s="104"/>
      <c r="AI12" s="398"/>
      <c r="AJ12" s="398"/>
      <c r="AK12" s="398"/>
      <c r="AL12" s="398"/>
      <c r="AR12" s="35" t="s">
        <v>46</v>
      </c>
      <c r="AS12" s="35">
        <f>LARGE(Prognoseergebnis!J66:J135,1)</f>
        <v>74.97</v>
      </c>
      <c r="AT12" s="35" t="str">
        <f>"Peak: "&amp;TEXT(AS12,"#.##0")</f>
        <v>Peak: 75</v>
      </c>
      <c r="AU12" s="35" t="str">
        <f>AT12&amp;AT13</f>
        <v>Peak: 75 am 27.05</v>
      </c>
    </row>
    <row r="13" spans="2:47" ht="13.15" customHeight="1" x14ac:dyDescent="0.2">
      <c r="B13" s="389" t="s">
        <v>230</v>
      </c>
      <c r="C13" s="390"/>
      <c r="D13" s="390"/>
      <c r="E13" s="390"/>
      <c r="F13" s="390"/>
      <c r="G13" s="390"/>
      <c r="H13" s="390"/>
      <c r="I13" s="390"/>
      <c r="J13" s="390"/>
      <c r="K13" s="390"/>
      <c r="L13" s="391"/>
      <c r="O13" s="389" t="s">
        <v>8</v>
      </c>
      <c r="P13" s="390"/>
      <c r="Q13" s="390"/>
      <c r="R13" s="390"/>
      <c r="S13" s="390"/>
      <c r="T13" s="390"/>
      <c r="U13" s="390"/>
      <c r="V13" s="390"/>
      <c r="W13" s="390"/>
      <c r="X13" s="390"/>
      <c r="Y13" s="391"/>
      <c r="AB13" s="389" t="s">
        <v>70</v>
      </c>
      <c r="AC13" s="390"/>
      <c r="AD13" s="390"/>
      <c r="AE13" s="390"/>
      <c r="AF13" s="390"/>
      <c r="AG13" s="390"/>
      <c r="AH13" s="390"/>
      <c r="AI13" s="390"/>
      <c r="AJ13" s="390"/>
      <c r="AK13" s="390"/>
      <c r="AL13" s="391"/>
      <c r="AR13" s="35" t="s">
        <v>44</v>
      </c>
      <c r="AS13" s="80">
        <f>VLOOKUP(AS12,Prognoseergebnis!J:AB,19,FALSE)</f>
        <v>44343</v>
      </c>
      <c r="AT13" s="35" t="str">
        <f>" am "&amp;TEXT(AS13,"TT.MM")</f>
        <v xml:space="preserve"> am 27.05</v>
      </c>
    </row>
    <row r="14" spans="2:47" ht="14.85" customHeight="1" thickBot="1" x14ac:dyDescent="0.25">
      <c r="B14" s="392"/>
      <c r="C14" s="393"/>
      <c r="D14" s="393"/>
      <c r="E14" s="393"/>
      <c r="F14" s="393"/>
      <c r="G14" s="393"/>
      <c r="H14" s="393"/>
      <c r="I14" s="393"/>
      <c r="J14" s="393"/>
      <c r="K14" s="393"/>
      <c r="L14" s="394"/>
      <c r="O14" s="395"/>
      <c r="P14" s="396"/>
      <c r="Q14" s="396"/>
      <c r="R14" s="396"/>
      <c r="S14" s="396"/>
      <c r="T14" s="396"/>
      <c r="U14" s="396"/>
      <c r="V14" s="396"/>
      <c r="W14" s="396"/>
      <c r="X14" s="396"/>
      <c r="Y14" s="397"/>
      <c r="AB14" s="392"/>
      <c r="AC14" s="393"/>
      <c r="AD14" s="393"/>
      <c r="AE14" s="393"/>
      <c r="AF14" s="393"/>
      <c r="AG14" s="393"/>
      <c r="AH14" s="393"/>
      <c r="AI14" s="393"/>
      <c r="AJ14" s="393"/>
      <c r="AK14" s="393"/>
      <c r="AL14" s="394"/>
    </row>
    <row r="15" spans="2:47" x14ac:dyDescent="0.2">
      <c r="B15" s="107"/>
      <c r="C15" s="87"/>
      <c r="D15" s="87"/>
      <c r="E15" s="87"/>
      <c r="F15" s="87"/>
      <c r="G15" s="87"/>
      <c r="H15" s="87"/>
      <c r="I15" s="87"/>
      <c r="J15" s="87"/>
      <c r="K15" s="87"/>
      <c r="L15" s="88"/>
      <c r="O15" s="107"/>
      <c r="P15" s="87"/>
      <c r="Q15" s="87"/>
      <c r="R15" s="87"/>
      <c r="S15" s="87"/>
      <c r="T15" s="87"/>
      <c r="U15" s="87"/>
      <c r="V15" s="87"/>
      <c r="W15" s="87"/>
      <c r="X15" s="87"/>
      <c r="Y15" s="88"/>
      <c r="AB15" s="107"/>
      <c r="AC15" s="87"/>
      <c r="AD15" s="87"/>
      <c r="AE15" s="87"/>
      <c r="AF15" s="87"/>
      <c r="AG15" s="87"/>
      <c r="AH15" s="87"/>
      <c r="AI15" s="87"/>
      <c r="AJ15" s="87"/>
      <c r="AK15" s="87"/>
      <c r="AL15" s="88"/>
    </row>
    <row r="16" spans="2:47" x14ac:dyDescent="0.2">
      <c r="B16" s="89"/>
      <c r="C16" s="90"/>
      <c r="D16" s="90"/>
      <c r="E16" s="90"/>
      <c r="F16" s="90"/>
      <c r="G16" s="90"/>
      <c r="H16" s="90"/>
      <c r="I16" s="90"/>
      <c r="J16" s="90"/>
      <c r="K16" s="90"/>
      <c r="L16" s="91"/>
      <c r="O16" s="89"/>
      <c r="P16" s="90"/>
      <c r="Q16" s="90"/>
      <c r="R16" s="90"/>
      <c r="S16" s="90"/>
      <c r="T16" s="90"/>
      <c r="U16" s="90"/>
      <c r="V16" s="90"/>
      <c r="W16" s="90"/>
      <c r="X16" s="90"/>
      <c r="Y16" s="91"/>
      <c r="AB16" s="89"/>
      <c r="AC16" s="90"/>
      <c r="AD16" s="90"/>
      <c r="AE16" s="90"/>
      <c r="AF16" s="90"/>
      <c r="AG16" s="90"/>
      <c r="AH16" s="90"/>
      <c r="AI16" s="90"/>
      <c r="AJ16" s="90"/>
      <c r="AK16" s="90"/>
      <c r="AL16" s="91"/>
    </row>
    <row r="17" spans="2:47" x14ac:dyDescent="0.2">
      <c r="B17" s="89"/>
      <c r="C17" s="90"/>
      <c r="D17" s="90"/>
      <c r="E17" s="90"/>
      <c r="F17" s="90"/>
      <c r="G17" s="90"/>
      <c r="H17" s="90"/>
      <c r="I17" s="90"/>
      <c r="J17" s="90"/>
      <c r="K17" s="90"/>
      <c r="L17" s="91"/>
      <c r="O17" s="89"/>
      <c r="P17" s="90"/>
      <c r="Q17" s="90"/>
      <c r="R17" s="90"/>
      <c r="S17" s="90"/>
      <c r="T17" s="90"/>
      <c r="U17" s="90"/>
      <c r="V17" s="90"/>
      <c r="W17" s="90"/>
      <c r="X17" s="90"/>
      <c r="Y17" s="91"/>
      <c r="AB17" s="89"/>
      <c r="AC17" s="90"/>
      <c r="AD17" s="90"/>
      <c r="AE17" s="90"/>
      <c r="AF17" s="90"/>
      <c r="AG17" s="90"/>
      <c r="AH17" s="90"/>
      <c r="AI17" s="90"/>
      <c r="AJ17" s="90"/>
      <c r="AK17" s="90"/>
      <c r="AL17" s="91"/>
      <c r="AR17" s="388" t="s">
        <v>65</v>
      </c>
      <c r="AS17" s="388"/>
    </row>
    <row r="18" spans="2:47" x14ac:dyDescent="0.2">
      <c r="B18" s="89"/>
      <c r="C18" s="90"/>
      <c r="D18" s="90"/>
      <c r="E18" s="90"/>
      <c r="F18" s="90"/>
      <c r="G18" s="90"/>
      <c r="H18" s="90"/>
      <c r="I18" s="90"/>
      <c r="J18" s="90"/>
      <c r="K18" s="90"/>
      <c r="L18" s="91"/>
      <c r="O18" s="89"/>
      <c r="P18" s="90"/>
      <c r="Q18" s="90"/>
      <c r="R18" s="90"/>
      <c r="S18" s="90"/>
      <c r="T18" s="90"/>
      <c r="U18" s="90"/>
      <c r="V18" s="90"/>
      <c r="W18" s="90"/>
      <c r="X18" s="90"/>
      <c r="Y18" s="91"/>
      <c r="AB18" s="89"/>
      <c r="AC18" s="90"/>
      <c r="AD18" s="90"/>
      <c r="AE18" s="90"/>
      <c r="AF18" s="90"/>
      <c r="AG18" s="90"/>
      <c r="AH18" s="90"/>
      <c r="AI18" s="90"/>
      <c r="AJ18" s="90"/>
      <c r="AK18" s="90"/>
      <c r="AL18" s="91"/>
      <c r="AR18" s="35" t="s">
        <v>45</v>
      </c>
      <c r="AS18" s="79">
        <f>LARGE(Prognoseergebnis!O66:O135,1)</f>
        <v>279.5</v>
      </c>
      <c r="AT18" s="79" t="str">
        <f>"Peak: "&amp;TEXT(AS18,"#.##0")</f>
        <v>Peak: 280</v>
      </c>
      <c r="AU18" s="35" t="str">
        <f>AT18&amp;AT19</f>
        <v>Peak: 280 am 27.05</v>
      </c>
    </row>
    <row r="19" spans="2:47" x14ac:dyDescent="0.2">
      <c r="B19" s="89"/>
      <c r="C19" s="90"/>
      <c r="D19" s="90"/>
      <c r="E19" s="90"/>
      <c r="F19" s="90"/>
      <c r="G19" s="90"/>
      <c r="H19" s="90"/>
      <c r="I19" s="90"/>
      <c r="J19" s="90"/>
      <c r="K19" s="90"/>
      <c r="L19" s="91"/>
      <c r="O19" s="89"/>
      <c r="P19" s="90"/>
      <c r="Q19" s="90"/>
      <c r="R19" s="90"/>
      <c r="S19" s="90"/>
      <c r="T19" s="90"/>
      <c r="U19" s="90"/>
      <c r="V19" s="90"/>
      <c r="W19" s="90"/>
      <c r="X19" s="90"/>
      <c r="Y19" s="91"/>
      <c r="AB19" s="89"/>
      <c r="AC19" s="90"/>
      <c r="AD19" s="90"/>
      <c r="AE19" s="90"/>
      <c r="AF19" s="90"/>
      <c r="AG19" s="90"/>
      <c r="AH19" s="90"/>
      <c r="AI19" s="90"/>
      <c r="AJ19" s="90"/>
      <c r="AK19" s="90"/>
      <c r="AL19" s="91"/>
      <c r="AR19" s="35" t="s">
        <v>44</v>
      </c>
      <c r="AS19" s="80">
        <f>VLOOKUP(AS18,Prognoseergebnis!O:AB,14,FALSE)</f>
        <v>44343</v>
      </c>
      <c r="AT19" s="35" t="str">
        <f>" am "&amp;TEXT(AS19,"TT.MM")</f>
        <v xml:space="preserve"> am 27.05</v>
      </c>
    </row>
    <row r="20" spans="2:47" x14ac:dyDescent="0.2">
      <c r="B20" s="89"/>
      <c r="C20" s="90"/>
      <c r="D20" s="90"/>
      <c r="E20" s="90"/>
      <c r="F20" s="90"/>
      <c r="G20" s="90"/>
      <c r="H20" s="90"/>
      <c r="I20" s="90"/>
      <c r="J20" s="90"/>
      <c r="K20" s="90"/>
      <c r="L20" s="91"/>
      <c r="O20" s="89"/>
      <c r="P20" s="90"/>
      <c r="Q20" s="90"/>
      <c r="R20" s="90"/>
      <c r="S20" s="90"/>
      <c r="T20" s="90"/>
      <c r="U20" s="90"/>
      <c r="V20" s="90"/>
      <c r="W20" s="90"/>
      <c r="X20" s="90"/>
      <c r="Y20" s="91"/>
      <c r="AB20" s="89"/>
      <c r="AC20" s="90"/>
      <c r="AD20" s="90"/>
      <c r="AE20" s="90"/>
      <c r="AF20" s="90"/>
      <c r="AG20" s="90"/>
      <c r="AH20" s="90"/>
      <c r="AI20" s="90"/>
      <c r="AJ20" s="90"/>
      <c r="AK20" s="90"/>
      <c r="AL20" s="91"/>
    </row>
    <row r="21" spans="2:47" x14ac:dyDescent="0.2">
      <c r="B21" s="89"/>
      <c r="C21" s="90"/>
      <c r="D21" s="90"/>
      <c r="E21" s="90"/>
      <c r="F21" s="90"/>
      <c r="G21" s="90"/>
      <c r="H21" s="90"/>
      <c r="I21" s="90"/>
      <c r="J21" s="90"/>
      <c r="K21" s="90"/>
      <c r="L21" s="91"/>
      <c r="O21" s="89"/>
      <c r="P21" s="90"/>
      <c r="Q21" s="90"/>
      <c r="R21" s="90"/>
      <c r="S21" s="90"/>
      <c r="T21" s="90"/>
      <c r="U21" s="90"/>
      <c r="V21" s="90"/>
      <c r="W21" s="90"/>
      <c r="X21" s="90"/>
      <c r="Y21" s="91"/>
      <c r="AB21" s="89"/>
      <c r="AC21" s="90"/>
      <c r="AD21" s="90"/>
      <c r="AE21" s="90"/>
      <c r="AF21" s="90"/>
      <c r="AG21" s="90"/>
      <c r="AH21" s="90"/>
      <c r="AI21" s="90"/>
      <c r="AJ21" s="90"/>
      <c r="AK21" s="90"/>
      <c r="AL21" s="91"/>
      <c r="AR21" s="35" t="s">
        <v>66</v>
      </c>
    </row>
    <row r="22" spans="2:47" x14ac:dyDescent="0.2">
      <c r="B22" s="89"/>
      <c r="C22" s="90"/>
      <c r="D22" s="90"/>
      <c r="E22" s="90"/>
      <c r="F22" s="90"/>
      <c r="G22" s="90"/>
      <c r="H22" s="90"/>
      <c r="I22" s="90"/>
      <c r="J22" s="90"/>
      <c r="K22" s="90"/>
      <c r="L22" s="91"/>
      <c r="O22" s="89"/>
      <c r="P22" s="90"/>
      <c r="Q22" s="90"/>
      <c r="R22" s="90"/>
      <c r="S22" s="90"/>
      <c r="T22" s="90"/>
      <c r="U22" s="90"/>
      <c r="V22" s="90"/>
      <c r="W22" s="90"/>
      <c r="X22" s="90"/>
      <c r="Y22" s="91"/>
      <c r="AB22" s="89"/>
      <c r="AC22" s="90"/>
      <c r="AD22" s="90"/>
      <c r="AE22" s="90"/>
      <c r="AF22" s="90"/>
      <c r="AG22" s="90"/>
      <c r="AH22" s="90"/>
      <c r="AI22" s="90"/>
      <c r="AJ22" s="90"/>
      <c r="AK22" s="90"/>
      <c r="AL22" s="91"/>
      <c r="AR22" s="35" t="s">
        <v>46</v>
      </c>
      <c r="AS22" s="35">
        <f>LARGE(Prognoseergebnis!$P$66:$P135,1)</f>
        <v>167</v>
      </c>
      <c r="AT22" s="35" t="str">
        <f>"Peak: "&amp;TEXT(AS22,"#.##0")</f>
        <v>Peak: 167</v>
      </c>
      <c r="AU22" s="35" t="str">
        <f>AT22&amp;AT23</f>
        <v>Peak: 167 am 27.05</v>
      </c>
    </row>
    <row r="23" spans="2:47" x14ac:dyDescent="0.2">
      <c r="B23" s="89"/>
      <c r="C23" s="90"/>
      <c r="D23" s="90"/>
      <c r="E23" s="90"/>
      <c r="F23" s="90"/>
      <c r="G23" s="90"/>
      <c r="H23" s="90"/>
      <c r="I23" s="90"/>
      <c r="J23" s="90"/>
      <c r="K23" s="90"/>
      <c r="L23" s="91"/>
      <c r="O23" s="89"/>
      <c r="P23" s="90"/>
      <c r="Q23" s="90"/>
      <c r="R23" s="90"/>
      <c r="S23" s="90"/>
      <c r="T23" s="90"/>
      <c r="U23" s="90"/>
      <c r="V23" s="90"/>
      <c r="W23" s="90"/>
      <c r="X23" s="90"/>
      <c r="Y23" s="91"/>
      <c r="AB23" s="89"/>
      <c r="AC23" s="90"/>
      <c r="AD23" s="90"/>
      <c r="AE23" s="90"/>
      <c r="AF23" s="90"/>
      <c r="AG23" s="90"/>
      <c r="AH23" s="90"/>
      <c r="AI23" s="90"/>
      <c r="AJ23" s="90"/>
      <c r="AK23" s="90"/>
      <c r="AL23" s="91"/>
      <c r="AR23" s="35" t="s">
        <v>44</v>
      </c>
      <c r="AS23" s="80">
        <f>VLOOKUP(AS22,Prognoseergebnis!P:AB,13,FALSE)</f>
        <v>44343</v>
      </c>
      <c r="AT23" s="35" t="str">
        <f>" am "&amp;TEXT(AS23,"TT.MM")</f>
        <v xml:space="preserve"> am 27.05</v>
      </c>
    </row>
    <row r="24" spans="2:47" x14ac:dyDescent="0.2">
      <c r="B24" s="89"/>
      <c r="C24" s="90"/>
      <c r="D24" s="90"/>
      <c r="E24" s="90"/>
      <c r="F24" s="90"/>
      <c r="G24" s="90"/>
      <c r="H24" s="90"/>
      <c r="I24" s="90"/>
      <c r="J24" s="90"/>
      <c r="K24" s="90"/>
      <c r="L24" s="91"/>
      <c r="O24" s="89"/>
      <c r="P24" s="90"/>
      <c r="Q24" s="90"/>
      <c r="R24" s="90"/>
      <c r="S24" s="90"/>
      <c r="T24" s="90"/>
      <c r="U24" s="90"/>
      <c r="V24" s="90"/>
      <c r="W24" s="90"/>
      <c r="X24" s="90"/>
      <c r="Y24" s="91"/>
      <c r="AB24" s="89"/>
      <c r="AC24" s="90"/>
      <c r="AD24" s="90"/>
      <c r="AE24" s="90"/>
      <c r="AF24" s="90"/>
      <c r="AG24" s="90"/>
      <c r="AH24" s="90"/>
      <c r="AI24" s="90"/>
      <c r="AJ24" s="90"/>
      <c r="AK24" s="90"/>
      <c r="AL24" s="91"/>
    </row>
    <row r="25" spans="2:47" x14ac:dyDescent="0.2">
      <c r="B25" s="89"/>
      <c r="C25" s="90"/>
      <c r="D25" s="90"/>
      <c r="E25" s="90"/>
      <c r="F25" s="90"/>
      <c r="G25" s="90"/>
      <c r="H25" s="90"/>
      <c r="I25" s="90"/>
      <c r="J25" s="90"/>
      <c r="K25" s="90"/>
      <c r="L25" s="91"/>
      <c r="O25" s="89"/>
      <c r="P25" s="90"/>
      <c r="Q25" s="90"/>
      <c r="R25" s="90"/>
      <c r="S25" s="90"/>
      <c r="T25" s="90"/>
      <c r="U25" s="90"/>
      <c r="V25" s="90"/>
      <c r="W25" s="90"/>
      <c r="X25" s="90"/>
      <c r="Y25" s="91"/>
      <c r="AB25" s="89"/>
      <c r="AC25" s="90"/>
      <c r="AD25" s="90"/>
      <c r="AE25" s="90"/>
      <c r="AF25" s="90"/>
      <c r="AG25" s="90"/>
      <c r="AH25" s="90"/>
      <c r="AI25" s="90"/>
      <c r="AJ25" s="90"/>
      <c r="AK25" s="90"/>
      <c r="AL25" s="91"/>
      <c r="AR25" s="388" t="s">
        <v>67</v>
      </c>
      <c r="AS25" s="388"/>
    </row>
    <row r="26" spans="2:47" x14ac:dyDescent="0.2">
      <c r="B26" s="89"/>
      <c r="C26" s="90"/>
      <c r="D26" s="90"/>
      <c r="E26" s="90"/>
      <c r="F26" s="90"/>
      <c r="G26" s="90"/>
      <c r="H26" s="90"/>
      <c r="I26" s="90"/>
      <c r="J26" s="90"/>
      <c r="K26" s="90"/>
      <c r="L26" s="91"/>
      <c r="O26" s="89"/>
      <c r="P26" s="90"/>
      <c r="Q26" s="90"/>
      <c r="R26" s="90"/>
      <c r="S26" s="90"/>
      <c r="T26" s="90"/>
      <c r="U26" s="90"/>
      <c r="V26" s="90"/>
      <c r="W26" s="90"/>
      <c r="X26" s="90"/>
      <c r="Y26" s="91"/>
      <c r="AB26" s="89"/>
      <c r="AC26" s="90"/>
      <c r="AD26" s="90"/>
      <c r="AE26" s="90"/>
      <c r="AF26" s="90"/>
      <c r="AG26" s="90"/>
      <c r="AH26" s="90"/>
      <c r="AI26" s="90"/>
      <c r="AJ26" s="90"/>
      <c r="AK26" s="90"/>
      <c r="AL26" s="91"/>
      <c r="AR26" s="35" t="s">
        <v>45</v>
      </c>
      <c r="AS26" s="79">
        <f>LARGE(Prognoseergebnis!Q66:Q135,1)</f>
        <v>45</v>
      </c>
      <c r="AT26" s="79" t="str">
        <f>"Peak: "&amp;TEXT(AS26,"#.##0")</f>
        <v>Peak: 45</v>
      </c>
      <c r="AU26" s="35" t="str">
        <f>AT26&amp;AT27</f>
        <v>Peak: 45 am 27.05</v>
      </c>
    </row>
    <row r="27" spans="2:47" x14ac:dyDescent="0.2">
      <c r="B27" s="89"/>
      <c r="C27" s="90"/>
      <c r="D27" s="90"/>
      <c r="E27" s="90"/>
      <c r="F27" s="90"/>
      <c r="G27" s="90"/>
      <c r="H27" s="90"/>
      <c r="I27" s="90"/>
      <c r="J27" s="90"/>
      <c r="K27" s="90"/>
      <c r="L27" s="91"/>
      <c r="O27" s="89"/>
      <c r="P27" s="90"/>
      <c r="Q27" s="90"/>
      <c r="R27" s="90"/>
      <c r="S27" s="90"/>
      <c r="T27" s="90"/>
      <c r="U27" s="90"/>
      <c r="V27" s="90"/>
      <c r="W27" s="90"/>
      <c r="X27" s="90"/>
      <c r="Y27" s="91"/>
      <c r="AB27" s="89"/>
      <c r="AC27" s="90"/>
      <c r="AD27" s="90"/>
      <c r="AE27" s="90"/>
      <c r="AF27" s="90"/>
      <c r="AG27" s="90"/>
      <c r="AH27" s="90"/>
      <c r="AI27" s="90"/>
      <c r="AJ27" s="90"/>
      <c r="AK27" s="90"/>
      <c r="AL27" s="91"/>
      <c r="AR27" s="35" t="s">
        <v>44</v>
      </c>
      <c r="AS27" s="80">
        <f>VLOOKUP(AS26,Prognoseergebnis!Q:AB,12,FALSE)</f>
        <v>44343</v>
      </c>
      <c r="AT27" s="35" t="str">
        <f>" am "&amp;TEXT(AS27,"TT.MM")</f>
        <v xml:space="preserve"> am 27.05</v>
      </c>
    </row>
    <row r="28" spans="2:47" x14ac:dyDescent="0.2">
      <c r="B28" s="89"/>
      <c r="C28" s="90"/>
      <c r="D28" s="90"/>
      <c r="E28" s="90"/>
      <c r="F28" s="90"/>
      <c r="G28" s="90"/>
      <c r="H28" s="90"/>
      <c r="I28" s="90"/>
      <c r="J28" s="90"/>
      <c r="K28" s="90"/>
      <c r="L28" s="91"/>
      <c r="O28" s="89"/>
      <c r="P28" s="90"/>
      <c r="Q28" s="90"/>
      <c r="R28" s="90"/>
      <c r="S28" s="90"/>
      <c r="T28" s="90"/>
      <c r="U28" s="90"/>
      <c r="V28" s="90"/>
      <c r="W28" s="90"/>
      <c r="X28" s="90"/>
      <c r="Y28" s="91"/>
      <c r="AB28" s="89"/>
      <c r="AC28" s="90"/>
      <c r="AD28" s="90"/>
      <c r="AE28" s="90"/>
      <c r="AF28" s="90"/>
      <c r="AG28" s="90"/>
      <c r="AH28" s="90"/>
      <c r="AI28" s="90"/>
      <c r="AJ28" s="90"/>
      <c r="AK28" s="90"/>
      <c r="AL28" s="91"/>
    </row>
    <row r="29" spans="2:47" x14ac:dyDescent="0.2">
      <c r="B29" s="89"/>
      <c r="C29" s="90"/>
      <c r="D29" s="90"/>
      <c r="E29" s="90"/>
      <c r="F29" s="90"/>
      <c r="G29" s="90"/>
      <c r="H29" s="90"/>
      <c r="I29" s="90"/>
      <c r="J29" s="90"/>
      <c r="K29" s="90"/>
      <c r="L29" s="91"/>
      <c r="O29" s="89"/>
      <c r="P29" s="90"/>
      <c r="Q29" s="90"/>
      <c r="R29" s="90"/>
      <c r="S29" s="90"/>
      <c r="T29" s="90"/>
      <c r="U29" s="90"/>
      <c r="V29" s="90"/>
      <c r="W29" s="90"/>
      <c r="X29" s="90"/>
      <c r="Y29" s="91"/>
      <c r="AB29" s="89"/>
      <c r="AC29" s="90"/>
      <c r="AD29" s="90"/>
      <c r="AE29" s="90"/>
      <c r="AF29" s="90"/>
      <c r="AG29" s="90"/>
      <c r="AH29" s="90"/>
      <c r="AI29" s="90"/>
      <c r="AJ29" s="90"/>
      <c r="AK29" s="90"/>
      <c r="AL29" s="91"/>
      <c r="AR29" s="35" t="s">
        <v>68</v>
      </c>
    </row>
    <row r="30" spans="2:47" x14ac:dyDescent="0.2">
      <c r="B30" s="89"/>
      <c r="C30" s="90"/>
      <c r="D30" s="90"/>
      <c r="E30" s="90"/>
      <c r="F30" s="90"/>
      <c r="G30" s="90"/>
      <c r="H30" s="90"/>
      <c r="I30" s="90"/>
      <c r="J30" s="90"/>
      <c r="K30" s="90"/>
      <c r="L30" s="91"/>
      <c r="O30" s="89"/>
      <c r="P30" s="90"/>
      <c r="Q30" s="90"/>
      <c r="R30" s="90"/>
      <c r="S30" s="90"/>
      <c r="T30" s="90"/>
      <c r="U30" s="90"/>
      <c r="V30" s="90"/>
      <c r="W30" s="90"/>
      <c r="X30" s="90"/>
      <c r="Y30" s="91"/>
      <c r="AB30" s="89"/>
      <c r="AC30" s="90"/>
      <c r="AD30" s="90"/>
      <c r="AE30" s="90"/>
      <c r="AF30" s="90"/>
      <c r="AG30" s="90"/>
      <c r="AH30" s="90"/>
      <c r="AI30" s="90"/>
      <c r="AJ30" s="90"/>
      <c r="AK30" s="90"/>
      <c r="AL30" s="91"/>
      <c r="AR30" s="35" t="s">
        <v>46</v>
      </c>
      <c r="AS30" s="35">
        <f>LARGE(Prognoseergebnis!$R$66:$R135,1)</f>
        <v>21</v>
      </c>
      <c r="AT30" s="35" t="str">
        <f>"Peak: "&amp;TEXT(AS30,"#.##0")</f>
        <v>Peak: 21</v>
      </c>
      <c r="AU30" s="35" t="str">
        <f>AT30&amp;AT31</f>
        <v>Peak: 21 am 27.05</v>
      </c>
    </row>
    <row r="31" spans="2:47" x14ac:dyDescent="0.2">
      <c r="B31" s="89"/>
      <c r="C31" s="90"/>
      <c r="D31" s="90"/>
      <c r="E31" s="90"/>
      <c r="F31" s="90"/>
      <c r="G31" s="90"/>
      <c r="H31" s="90"/>
      <c r="I31" s="90"/>
      <c r="J31" s="90"/>
      <c r="K31" s="90"/>
      <c r="L31" s="91"/>
      <c r="O31" s="89"/>
      <c r="P31" s="90"/>
      <c r="Q31" s="90"/>
      <c r="R31" s="90"/>
      <c r="S31" s="90"/>
      <c r="T31" s="90"/>
      <c r="U31" s="90"/>
      <c r="V31" s="90"/>
      <c r="W31" s="90"/>
      <c r="X31" s="90"/>
      <c r="Y31" s="91"/>
      <c r="AB31" s="89"/>
      <c r="AC31" s="90"/>
      <c r="AD31" s="90"/>
      <c r="AE31" s="90"/>
      <c r="AF31" s="90"/>
      <c r="AG31" s="90"/>
      <c r="AH31" s="90"/>
      <c r="AI31" s="90"/>
      <c r="AJ31" s="90"/>
      <c r="AK31" s="90"/>
      <c r="AL31" s="91"/>
      <c r="AR31" s="35" t="s">
        <v>44</v>
      </c>
      <c r="AS31" s="80">
        <f>VLOOKUP(AS30,Prognoseergebnis!R:AB,11,FALSE)</f>
        <v>44343</v>
      </c>
      <c r="AT31" s="35" t="str">
        <f>" am "&amp;TEXT(AS31,"TT.MM")</f>
        <v xml:space="preserve"> am 27.05</v>
      </c>
    </row>
    <row r="32" spans="2:47" x14ac:dyDescent="0.2">
      <c r="B32" s="89"/>
      <c r="C32" s="90"/>
      <c r="D32" s="90"/>
      <c r="E32" s="90"/>
      <c r="F32" s="90"/>
      <c r="G32" s="90"/>
      <c r="H32" s="90"/>
      <c r="I32" s="90"/>
      <c r="J32" s="90"/>
      <c r="K32" s="90"/>
      <c r="L32" s="91"/>
      <c r="O32" s="89"/>
      <c r="P32" s="90"/>
      <c r="Q32" s="90"/>
      <c r="R32" s="90"/>
      <c r="S32" s="90"/>
      <c r="T32" s="90"/>
      <c r="U32" s="90"/>
      <c r="V32" s="90"/>
      <c r="W32" s="90"/>
      <c r="X32" s="90"/>
      <c r="Y32" s="91"/>
      <c r="AB32" s="89"/>
      <c r="AC32" s="90"/>
      <c r="AD32" s="90"/>
      <c r="AE32" s="90"/>
      <c r="AF32" s="90"/>
      <c r="AG32" s="90"/>
      <c r="AH32" s="90"/>
      <c r="AI32" s="90"/>
      <c r="AJ32" s="90"/>
      <c r="AK32" s="90"/>
      <c r="AL32" s="91"/>
    </row>
    <row r="33" spans="2:38" x14ac:dyDescent="0.2">
      <c r="B33" s="89"/>
      <c r="C33" s="90"/>
      <c r="D33" s="90"/>
      <c r="E33" s="90"/>
      <c r="F33" s="90"/>
      <c r="G33" s="90"/>
      <c r="H33" s="90"/>
      <c r="I33" s="90"/>
      <c r="J33" s="90"/>
      <c r="K33" s="90"/>
      <c r="L33" s="91"/>
      <c r="O33" s="89"/>
      <c r="P33" s="90"/>
      <c r="Q33" s="90"/>
      <c r="R33" s="90"/>
      <c r="S33" s="90"/>
      <c r="T33" s="90"/>
      <c r="U33" s="90"/>
      <c r="V33" s="90"/>
      <c r="W33" s="90"/>
      <c r="X33" s="90"/>
      <c r="Y33" s="91"/>
      <c r="AB33" s="89"/>
      <c r="AC33" s="90"/>
      <c r="AD33" s="90"/>
      <c r="AE33" s="90"/>
      <c r="AF33" s="90"/>
      <c r="AG33" s="90"/>
      <c r="AH33" s="90"/>
      <c r="AI33" s="90"/>
      <c r="AJ33" s="90"/>
      <c r="AK33" s="90"/>
      <c r="AL33" s="91"/>
    </row>
    <row r="34" spans="2:38" x14ac:dyDescent="0.2">
      <c r="B34" s="89"/>
      <c r="C34" s="90"/>
      <c r="D34" s="90"/>
      <c r="E34" s="90"/>
      <c r="F34" s="90"/>
      <c r="G34" s="90"/>
      <c r="H34" s="90"/>
      <c r="I34" s="90"/>
      <c r="J34" s="90"/>
      <c r="K34" s="90"/>
      <c r="L34" s="91"/>
      <c r="O34" s="89"/>
      <c r="P34" s="90"/>
      <c r="Q34" s="90"/>
      <c r="R34" s="90"/>
      <c r="S34" s="90"/>
      <c r="T34" s="90"/>
      <c r="U34" s="90"/>
      <c r="V34" s="90"/>
      <c r="W34" s="90"/>
      <c r="X34" s="90"/>
      <c r="Y34" s="91"/>
      <c r="AB34" s="89"/>
      <c r="AC34" s="90"/>
      <c r="AD34" s="90"/>
      <c r="AE34" s="90"/>
      <c r="AF34" s="90"/>
      <c r="AG34" s="90"/>
      <c r="AH34" s="90"/>
      <c r="AI34" s="90"/>
      <c r="AJ34" s="90"/>
      <c r="AK34" s="90"/>
      <c r="AL34" s="91"/>
    </row>
    <row r="35" spans="2:38" x14ac:dyDescent="0.2">
      <c r="B35" s="89"/>
      <c r="C35" s="90"/>
      <c r="D35" s="90"/>
      <c r="E35" s="90"/>
      <c r="F35" s="90"/>
      <c r="G35" s="90"/>
      <c r="H35" s="90"/>
      <c r="I35" s="90"/>
      <c r="J35" s="90"/>
      <c r="K35" s="90"/>
      <c r="L35" s="91"/>
      <c r="O35" s="89"/>
      <c r="P35" s="90"/>
      <c r="Q35" s="90"/>
      <c r="R35" s="90"/>
      <c r="S35" s="90"/>
      <c r="T35" s="90"/>
      <c r="U35" s="90"/>
      <c r="V35" s="90"/>
      <c r="W35" s="90"/>
      <c r="X35" s="90"/>
      <c r="Y35" s="91"/>
      <c r="AB35" s="89"/>
      <c r="AC35" s="90"/>
      <c r="AD35" s="90"/>
      <c r="AE35" s="90"/>
      <c r="AF35" s="90"/>
      <c r="AG35" s="90"/>
      <c r="AH35" s="90"/>
      <c r="AI35" s="90"/>
      <c r="AJ35" s="90"/>
      <c r="AK35" s="90"/>
      <c r="AL35" s="91"/>
    </row>
    <row r="36" spans="2:38" x14ac:dyDescent="0.2">
      <c r="B36" s="89"/>
      <c r="C36" s="90"/>
      <c r="D36" s="90"/>
      <c r="E36" s="90"/>
      <c r="F36" s="90"/>
      <c r="G36" s="90"/>
      <c r="H36" s="90"/>
      <c r="I36" s="90"/>
      <c r="J36" s="90"/>
      <c r="K36" s="90"/>
      <c r="L36" s="91"/>
      <c r="O36" s="89"/>
      <c r="P36" s="90"/>
      <c r="Q36" s="90"/>
      <c r="R36" s="90"/>
      <c r="S36" s="90"/>
      <c r="T36" s="90"/>
      <c r="U36" s="90"/>
      <c r="V36" s="90"/>
      <c r="W36" s="90"/>
      <c r="X36" s="90"/>
      <c r="Y36" s="91"/>
      <c r="AB36" s="89"/>
      <c r="AC36" s="90"/>
      <c r="AD36" s="90"/>
      <c r="AE36" s="90"/>
      <c r="AF36" s="90"/>
      <c r="AG36" s="90"/>
      <c r="AH36" s="90"/>
      <c r="AI36" s="90"/>
      <c r="AJ36" s="90"/>
      <c r="AK36" s="90"/>
      <c r="AL36" s="91"/>
    </row>
    <row r="37" spans="2:38" x14ac:dyDescent="0.2">
      <c r="B37" s="89"/>
      <c r="C37" s="90"/>
      <c r="D37" s="90"/>
      <c r="E37" s="90"/>
      <c r="F37" s="90"/>
      <c r="G37" s="90"/>
      <c r="H37" s="90"/>
      <c r="I37" s="90"/>
      <c r="J37" s="90"/>
      <c r="K37" s="90"/>
      <c r="L37" s="91"/>
      <c r="O37" s="89"/>
      <c r="P37" s="90"/>
      <c r="Q37" s="90"/>
      <c r="R37" s="90"/>
      <c r="S37" s="90"/>
      <c r="T37" s="90"/>
      <c r="U37" s="90"/>
      <c r="V37" s="90"/>
      <c r="W37" s="90"/>
      <c r="X37" s="90"/>
      <c r="Y37" s="91"/>
      <c r="AB37" s="89"/>
      <c r="AC37" s="90"/>
      <c r="AD37" s="90"/>
      <c r="AE37" s="90"/>
      <c r="AF37" s="90"/>
      <c r="AG37" s="90"/>
      <c r="AH37" s="90"/>
      <c r="AI37" s="90"/>
      <c r="AJ37" s="90"/>
      <c r="AK37" s="90"/>
      <c r="AL37" s="91"/>
    </row>
    <row r="38" spans="2:38" x14ac:dyDescent="0.2">
      <c r="B38" s="89"/>
      <c r="C38" s="90"/>
      <c r="D38" s="90"/>
      <c r="E38" s="90"/>
      <c r="F38" s="90"/>
      <c r="G38" s="90"/>
      <c r="H38" s="90"/>
      <c r="I38" s="90"/>
      <c r="J38" s="90"/>
      <c r="K38" s="90"/>
      <c r="L38" s="91"/>
      <c r="O38" s="89"/>
      <c r="P38" s="90"/>
      <c r="Q38" s="90"/>
      <c r="R38" s="90"/>
      <c r="S38" s="90"/>
      <c r="T38" s="90"/>
      <c r="U38" s="90"/>
      <c r="V38" s="90"/>
      <c r="W38" s="90"/>
      <c r="X38" s="90"/>
      <c r="Y38" s="91"/>
      <c r="AB38" s="89"/>
      <c r="AC38" s="90"/>
      <c r="AD38" s="90"/>
      <c r="AE38" s="90"/>
      <c r="AF38" s="90"/>
      <c r="AG38" s="90"/>
      <c r="AH38" s="90"/>
      <c r="AI38" s="90"/>
      <c r="AJ38" s="90"/>
      <c r="AK38" s="90"/>
      <c r="AL38" s="91"/>
    </row>
    <row r="39" spans="2:38" x14ac:dyDescent="0.2">
      <c r="B39" s="89"/>
      <c r="C39" s="90"/>
      <c r="D39" s="90"/>
      <c r="E39" s="90"/>
      <c r="F39" s="90"/>
      <c r="G39" s="90"/>
      <c r="H39" s="90"/>
      <c r="I39" s="90"/>
      <c r="J39" s="90"/>
      <c r="K39" s="90"/>
      <c r="L39" s="91"/>
      <c r="O39" s="89"/>
      <c r="P39" s="90"/>
      <c r="Q39" s="90"/>
      <c r="R39" s="90"/>
      <c r="S39" s="90"/>
      <c r="T39" s="90"/>
      <c r="U39" s="90"/>
      <c r="V39" s="90"/>
      <c r="W39" s="90"/>
      <c r="X39" s="90"/>
      <c r="Y39" s="91"/>
      <c r="AB39" s="89"/>
      <c r="AC39" s="90"/>
      <c r="AD39" s="90"/>
      <c r="AE39" s="90"/>
      <c r="AF39" s="90"/>
      <c r="AG39" s="90"/>
      <c r="AH39" s="90"/>
      <c r="AI39" s="90"/>
      <c r="AJ39" s="90"/>
      <c r="AK39" s="90"/>
      <c r="AL39" s="91"/>
    </row>
    <row r="40" spans="2:38" x14ac:dyDescent="0.2">
      <c r="B40" s="89"/>
      <c r="C40" s="90"/>
      <c r="D40" s="90"/>
      <c r="E40" s="90"/>
      <c r="F40" s="90"/>
      <c r="G40" s="90"/>
      <c r="H40" s="90"/>
      <c r="I40" s="90"/>
      <c r="J40" s="90"/>
      <c r="K40" s="90"/>
      <c r="L40" s="91"/>
      <c r="O40" s="89"/>
      <c r="P40" s="90"/>
      <c r="Q40" s="90"/>
      <c r="R40" s="90"/>
      <c r="S40" s="90"/>
      <c r="T40" s="90"/>
      <c r="U40" s="90"/>
      <c r="V40" s="90"/>
      <c r="W40" s="90"/>
      <c r="X40" s="90"/>
      <c r="Y40" s="91"/>
      <c r="AB40" s="89"/>
      <c r="AC40" s="90"/>
      <c r="AD40" s="90"/>
      <c r="AE40" s="90"/>
      <c r="AF40" s="90"/>
      <c r="AG40" s="90"/>
      <c r="AH40" s="90"/>
      <c r="AI40" s="90"/>
      <c r="AJ40" s="90"/>
      <c r="AK40" s="90"/>
      <c r="AL40" s="91"/>
    </row>
    <row r="41" spans="2:38" x14ac:dyDescent="0.2">
      <c r="B41" s="89"/>
      <c r="C41" s="90"/>
      <c r="D41" s="90"/>
      <c r="E41" s="90"/>
      <c r="F41" s="90"/>
      <c r="G41" s="90"/>
      <c r="H41" s="90"/>
      <c r="I41" s="90"/>
      <c r="J41" s="90"/>
      <c r="K41" s="90"/>
      <c r="L41" s="91"/>
      <c r="O41" s="89"/>
      <c r="P41" s="90"/>
      <c r="Q41" s="90"/>
      <c r="R41" s="90"/>
      <c r="S41" s="90"/>
      <c r="T41" s="90"/>
      <c r="U41" s="90"/>
      <c r="V41" s="90"/>
      <c r="W41" s="90"/>
      <c r="X41" s="90"/>
      <c r="Y41" s="91"/>
      <c r="AB41" s="89"/>
      <c r="AC41" s="90"/>
      <c r="AD41" s="90"/>
      <c r="AE41" s="90"/>
      <c r="AF41" s="90"/>
      <c r="AG41" s="90"/>
      <c r="AH41" s="90"/>
      <c r="AI41" s="90"/>
      <c r="AJ41" s="90"/>
      <c r="AK41" s="90"/>
      <c r="AL41" s="91"/>
    </row>
    <row r="42" spans="2:38" x14ac:dyDescent="0.2">
      <c r="B42" s="89"/>
      <c r="C42" s="90"/>
      <c r="D42" s="90"/>
      <c r="E42" s="90"/>
      <c r="F42" s="90"/>
      <c r="G42" s="90"/>
      <c r="H42" s="90"/>
      <c r="I42" s="90"/>
      <c r="J42" s="90"/>
      <c r="K42" s="90"/>
      <c r="L42" s="91"/>
      <c r="O42" s="89"/>
      <c r="P42" s="90"/>
      <c r="Q42" s="90"/>
      <c r="R42" s="90"/>
      <c r="S42" s="90"/>
      <c r="T42" s="90"/>
      <c r="U42" s="90"/>
      <c r="V42" s="90"/>
      <c r="W42" s="90"/>
      <c r="X42" s="90"/>
      <c r="Y42" s="91"/>
      <c r="AB42" s="89"/>
      <c r="AC42" s="90"/>
      <c r="AD42" s="90"/>
      <c r="AE42" s="90"/>
      <c r="AF42" s="90"/>
      <c r="AG42" s="90"/>
      <c r="AH42" s="90"/>
      <c r="AI42" s="90"/>
      <c r="AJ42" s="90"/>
      <c r="AK42" s="90"/>
      <c r="AL42" s="91"/>
    </row>
    <row r="43" spans="2:38" x14ac:dyDescent="0.2">
      <c r="B43" s="89"/>
      <c r="C43" s="90"/>
      <c r="D43" s="90"/>
      <c r="E43" s="90"/>
      <c r="F43" s="90"/>
      <c r="G43" s="90"/>
      <c r="H43" s="90"/>
      <c r="I43" s="90"/>
      <c r="J43" s="90"/>
      <c r="K43" s="90"/>
      <c r="L43" s="91"/>
      <c r="O43" s="89"/>
      <c r="P43" s="90"/>
      <c r="Q43" s="90"/>
      <c r="R43" s="90"/>
      <c r="S43" s="90"/>
      <c r="T43" s="90"/>
      <c r="U43" s="90"/>
      <c r="V43" s="90"/>
      <c r="W43" s="90"/>
      <c r="X43" s="90"/>
      <c r="Y43" s="91"/>
      <c r="AB43" s="89"/>
      <c r="AC43" s="90"/>
      <c r="AD43" s="90"/>
      <c r="AE43" s="90"/>
      <c r="AF43" s="90"/>
      <c r="AG43" s="90"/>
      <c r="AH43" s="90"/>
      <c r="AI43" s="90"/>
      <c r="AJ43" s="90"/>
      <c r="AK43" s="90"/>
      <c r="AL43" s="91"/>
    </row>
    <row r="44" spans="2:38" x14ac:dyDescent="0.2">
      <c r="B44" s="89"/>
      <c r="C44" s="90"/>
      <c r="D44" s="90"/>
      <c r="E44" s="90"/>
      <c r="F44" s="90"/>
      <c r="G44" s="90"/>
      <c r="H44" s="90"/>
      <c r="I44" s="90"/>
      <c r="J44" s="90"/>
      <c r="K44" s="90"/>
      <c r="L44" s="91"/>
      <c r="O44" s="89"/>
      <c r="P44" s="90"/>
      <c r="Q44" s="90"/>
      <c r="R44" s="90"/>
      <c r="S44" s="90"/>
      <c r="T44" s="90"/>
      <c r="U44" s="90"/>
      <c r="V44" s="90"/>
      <c r="W44" s="90"/>
      <c r="X44" s="90"/>
      <c r="Y44" s="91"/>
      <c r="AB44" s="89"/>
      <c r="AC44" s="90"/>
      <c r="AD44" s="90"/>
      <c r="AE44" s="90"/>
      <c r="AF44" s="90"/>
      <c r="AG44" s="90"/>
      <c r="AH44" s="90"/>
      <c r="AI44" s="90"/>
      <c r="AJ44" s="90"/>
      <c r="AK44" s="90"/>
      <c r="AL44" s="91"/>
    </row>
    <row r="45" spans="2:38" x14ac:dyDescent="0.2">
      <c r="B45" s="89"/>
      <c r="C45" s="90"/>
      <c r="D45" s="90"/>
      <c r="E45" s="90"/>
      <c r="F45" s="90"/>
      <c r="G45" s="90"/>
      <c r="H45" s="90"/>
      <c r="I45" s="90"/>
      <c r="J45" s="90"/>
      <c r="K45" s="90"/>
      <c r="L45" s="91"/>
      <c r="O45" s="89"/>
      <c r="P45" s="90"/>
      <c r="Q45" s="90"/>
      <c r="R45" s="90"/>
      <c r="S45" s="90"/>
      <c r="T45" s="90"/>
      <c r="U45" s="90"/>
      <c r="V45" s="90"/>
      <c r="W45" s="90"/>
      <c r="X45" s="90"/>
      <c r="Y45" s="91"/>
      <c r="AB45" s="89"/>
      <c r="AC45" s="90"/>
      <c r="AD45" s="90"/>
      <c r="AE45" s="90"/>
      <c r="AF45" s="90"/>
      <c r="AG45" s="90"/>
      <c r="AH45" s="90"/>
      <c r="AI45" s="90"/>
      <c r="AJ45" s="90"/>
      <c r="AK45" s="90"/>
      <c r="AL45" s="91"/>
    </row>
    <row r="46" spans="2:38" x14ac:dyDescent="0.2">
      <c r="B46" s="89"/>
      <c r="C46" s="90"/>
      <c r="D46" s="90"/>
      <c r="E46" s="90"/>
      <c r="F46" s="90"/>
      <c r="G46" s="90"/>
      <c r="H46" s="90"/>
      <c r="I46" s="90"/>
      <c r="J46" s="90"/>
      <c r="K46" s="90"/>
      <c r="L46" s="91"/>
      <c r="O46" s="89"/>
      <c r="P46" s="90"/>
      <c r="Q46" s="90"/>
      <c r="R46" s="90"/>
      <c r="S46" s="90"/>
      <c r="T46" s="90"/>
      <c r="U46" s="90"/>
      <c r="V46" s="90"/>
      <c r="W46" s="90"/>
      <c r="X46" s="90"/>
      <c r="Y46" s="91"/>
      <c r="AB46" s="89"/>
      <c r="AC46" s="90"/>
      <c r="AD46" s="90"/>
      <c r="AE46" s="90"/>
      <c r="AF46" s="90"/>
      <c r="AG46" s="90"/>
      <c r="AH46" s="90"/>
      <c r="AI46" s="90"/>
      <c r="AJ46" s="90"/>
      <c r="AK46" s="90"/>
      <c r="AL46" s="91"/>
    </row>
    <row r="47" spans="2:38" x14ac:dyDescent="0.2">
      <c r="B47" s="89"/>
      <c r="C47" s="90"/>
      <c r="D47" s="90"/>
      <c r="E47" s="90"/>
      <c r="F47" s="90"/>
      <c r="G47" s="90"/>
      <c r="H47" s="90"/>
      <c r="I47" s="90"/>
      <c r="J47" s="90"/>
      <c r="K47" s="90"/>
      <c r="L47" s="91"/>
      <c r="O47" s="89"/>
      <c r="P47" s="90"/>
      <c r="Q47" s="90"/>
      <c r="R47" s="90"/>
      <c r="S47" s="90"/>
      <c r="T47" s="90"/>
      <c r="U47" s="90"/>
      <c r="V47" s="90"/>
      <c r="W47" s="90"/>
      <c r="X47" s="90"/>
      <c r="Y47" s="91"/>
      <c r="AB47" s="89"/>
      <c r="AC47" s="90"/>
      <c r="AD47" s="90"/>
      <c r="AE47" s="90"/>
      <c r="AF47" s="90"/>
      <c r="AG47" s="90"/>
      <c r="AH47" s="90"/>
      <c r="AI47" s="90"/>
      <c r="AJ47" s="90"/>
      <c r="AK47" s="90"/>
      <c r="AL47" s="91"/>
    </row>
    <row r="48" spans="2:38" x14ac:dyDescent="0.2">
      <c r="B48" s="89"/>
      <c r="C48" s="90"/>
      <c r="D48" s="90"/>
      <c r="E48" s="90"/>
      <c r="F48" s="90"/>
      <c r="G48" s="90"/>
      <c r="H48" s="90"/>
      <c r="I48" s="90"/>
      <c r="J48" s="90"/>
      <c r="K48" s="90"/>
      <c r="L48" s="91"/>
      <c r="O48" s="89"/>
      <c r="P48" s="90"/>
      <c r="Q48" s="90"/>
      <c r="R48" s="90"/>
      <c r="S48" s="90"/>
      <c r="T48" s="90"/>
      <c r="U48" s="90"/>
      <c r="V48" s="90"/>
      <c r="W48" s="90"/>
      <c r="X48" s="90"/>
      <c r="Y48" s="91"/>
      <c r="AB48" s="89"/>
      <c r="AC48" s="90"/>
      <c r="AD48" s="90"/>
      <c r="AE48" s="90"/>
      <c r="AF48" s="90"/>
      <c r="AG48" s="90"/>
      <c r="AH48" s="90"/>
      <c r="AI48" s="90"/>
      <c r="AJ48" s="90"/>
      <c r="AK48" s="90"/>
      <c r="AL48" s="91"/>
    </row>
    <row r="49" spans="2:38" x14ac:dyDescent="0.2">
      <c r="B49" s="89"/>
      <c r="C49" s="90"/>
      <c r="D49" s="90"/>
      <c r="E49" s="90"/>
      <c r="F49" s="90"/>
      <c r="G49" s="90"/>
      <c r="H49" s="90"/>
      <c r="I49" s="90"/>
      <c r="J49" s="90"/>
      <c r="K49" s="90"/>
      <c r="L49" s="91"/>
      <c r="O49" s="89"/>
      <c r="P49" s="90"/>
      <c r="Q49" s="90"/>
      <c r="R49" s="90"/>
      <c r="S49" s="90"/>
      <c r="T49" s="90"/>
      <c r="U49" s="90"/>
      <c r="V49" s="90"/>
      <c r="W49" s="90"/>
      <c r="X49" s="90"/>
      <c r="Y49" s="91"/>
      <c r="AB49" s="89"/>
      <c r="AC49" s="90"/>
      <c r="AD49" s="90"/>
      <c r="AE49" s="90"/>
      <c r="AF49" s="90"/>
      <c r="AG49" s="90"/>
      <c r="AH49" s="90"/>
      <c r="AI49" s="90"/>
      <c r="AJ49" s="90"/>
      <c r="AK49" s="90"/>
      <c r="AL49" s="91"/>
    </row>
    <row r="50" spans="2:38" x14ac:dyDescent="0.2">
      <c r="B50" s="89"/>
      <c r="C50" s="90"/>
      <c r="D50" s="90"/>
      <c r="E50" s="90"/>
      <c r="F50" s="90"/>
      <c r="G50" s="90"/>
      <c r="H50" s="90"/>
      <c r="I50" s="90"/>
      <c r="J50" s="90"/>
      <c r="K50" s="90"/>
      <c r="L50" s="91"/>
      <c r="O50" s="89"/>
      <c r="P50" s="90"/>
      <c r="Q50" s="90"/>
      <c r="R50" s="90"/>
      <c r="S50" s="90"/>
      <c r="T50" s="90"/>
      <c r="U50" s="90"/>
      <c r="V50" s="90"/>
      <c r="W50" s="90"/>
      <c r="X50" s="90"/>
      <c r="Y50" s="91"/>
      <c r="AB50" s="89"/>
      <c r="AC50" s="90"/>
      <c r="AD50" s="90"/>
      <c r="AE50" s="90"/>
      <c r="AF50" s="90"/>
      <c r="AG50" s="90"/>
      <c r="AH50" s="90"/>
      <c r="AI50" s="90"/>
      <c r="AJ50" s="90"/>
      <c r="AK50" s="90"/>
      <c r="AL50" s="91"/>
    </row>
    <row r="51" spans="2:38" x14ac:dyDescent="0.2">
      <c r="B51" s="89"/>
      <c r="C51" s="90"/>
      <c r="D51" s="90"/>
      <c r="E51" s="90"/>
      <c r="F51" s="90"/>
      <c r="G51" s="90"/>
      <c r="H51" s="90"/>
      <c r="I51" s="90"/>
      <c r="J51" s="90"/>
      <c r="K51" s="90"/>
      <c r="L51" s="91"/>
      <c r="O51" s="89"/>
      <c r="P51" s="90"/>
      <c r="Q51" s="90"/>
      <c r="R51" s="90"/>
      <c r="S51" s="90"/>
      <c r="T51" s="90"/>
      <c r="U51" s="90"/>
      <c r="V51" s="90"/>
      <c r="W51" s="90"/>
      <c r="X51" s="90"/>
      <c r="Y51" s="91"/>
      <c r="AB51" s="89"/>
      <c r="AC51" s="90"/>
      <c r="AD51" s="90"/>
      <c r="AE51" s="90"/>
      <c r="AF51" s="90"/>
      <c r="AG51" s="90"/>
      <c r="AH51" s="90"/>
      <c r="AI51" s="90"/>
      <c r="AJ51" s="90"/>
      <c r="AK51" s="90"/>
      <c r="AL51" s="91"/>
    </row>
    <row r="52" spans="2:38" x14ac:dyDescent="0.2">
      <c r="B52" s="89"/>
      <c r="C52" s="90"/>
      <c r="D52" s="90"/>
      <c r="E52" s="90"/>
      <c r="F52" s="90"/>
      <c r="G52" s="90"/>
      <c r="H52" s="90"/>
      <c r="I52" s="90"/>
      <c r="J52" s="90"/>
      <c r="K52" s="90"/>
      <c r="L52" s="91"/>
      <c r="O52" s="89"/>
      <c r="P52" s="90"/>
      <c r="Q52" s="90"/>
      <c r="R52" s="90"/>
      <c r="S52" s="90"/>
      <c r="T52" s="90"/>
      <c r="U52" s="90"/>
      <c r="V52" s="90"/>
      <c r="W52" s="90"/>
      <c r="X52" s="90"/>
      <c r="Y52" s="91"/>
      <c r="AB52" s="89"/>
      <c r="AC52" s="90"/>
      <c r="AD52" s="90"/>
      <c r="AE52" s="90"/>
      <c r="AF52" s="90"/>
      <c r="AG52" s="90"/>
      <c r="AH52" s="90"/>
      <c r="AI52" s="90"/>
      <c r="AJ52" s="90"/>
      <c r="AK52" s="90"/>
      <c r="AL52" s="91"/>
    </row>
    <row r="53" spans="2:38" x14ac:dyDescent="0.2">
      <c r="B53" s="89"/>
      <c r="C53" s="90"/>
      <c r="D53" s="90"/>
      <c r="E53" s="90"/>
      <c r="F53" s="90"/>
      <c r="G53" s="90"/>
      <c r="H53" s="90"/>
      <c r="I53" s="90"/>
      <c r="J53" s="90"/>
      <c r="K53" s="90"/>
      <c r="L53" s="91"/>
      <c r="O53" s="89"/>
      <c r="P53" s="90"/>
      <c r="Q53" s="90"/>
      <c r="R53" s="90"/>
      <c r="S53" s="90"/>
      <c r="T53" s="90"/>
      <c r="U53" s="90"/>
      <c r="V53" s="90"/>
      <c r="W53" s="90"/>
      <c r="X53" s="90"/>
      <c r="Y53" s="91"/>
      <c r="AB53" s="89"/>
      <c r="AC53" s="90"/>
      <c r="AD53" s="90"/>
      <c r="AE53" s="90"/>
      <c r="AF53" s="90"/>
      <c r="AG53" s="90"/>
      <c r="AH53" s="90"/>
      <c r="AI53" s="90"/>
      <c r="AJ53" s="90"/>
      <c r="AK53" s="90"/>
      <c r="AL53" s="91"/>
    </row>
    <row r="54" spans="2:38" x14ac:dyDescent="0.2">
      <c r="B54" s="89"/>
      <c r="C54" s="90"/>
      <c r="D54" s="90"/>
      <c r="E54" s="90"/>
      <c r="F54" s="90"/>
      <c r="G54" s="90"/>
      <c r="H54" s="90"/>
      <c r="I54" s="90"/>
      <c r="J54" s="90"/>
      <c r="K54" s="90"/>
      <c r="L54" s="91"/>
      <c r="O54" s="89"/>
      <c r="P54" s="90"/>
      <c r="Q54" s="90"/>
      <c r="R54" s="90"/>
      <c r="S54" s="90"/>
      <c r="T54" s="90"/>
      <c r="U54" s="90"/>
      <c r="V54" s="90"/>
      <c r="W54" s="90"/>
      <c r="X54" s="90"/>
      <c r="Y54" s="91"/>
      <c r="AB54" s="89"/>
      <c r="AC54" s="90"/>
      <c r="AD54" s="90"/>
      <c r="AE54" s="90"/>
      <c r="AF54" s="90"/>
      <c r="AG54" s="90"/>
      <c r="AH54" s="90"/>
      <c r="AI54" s="90"/>
      <c r="AJ54" s="90"/>
      <c r="AK54" s="90"/>
      <c r="AL54" s="91"/>
    </row>
    <row r="55" spans="2:38" x14ac:dyDescent="0.2">
      <c r="B55" s="89"/>
      <c r="C55" s="90"/>
      <c r="D55" s="90"/>
      <c r="E55" s="90"/>
      <c r="F55" s="90"/>
      <c r="G55" s="90"/>
      <c r="H55" s="90"/>
      <c r="I55" s="90"/>
      <c r="J55" s="90"/>
      <c r="K55" s="90"/>
      <c r="L55" s="91"/>
      <c r="O55" s="89"/>
      <c r="P55" s="90"/>
      <c r="Q55" s="90"/>
      <c r="R55" s="90"/>
      <c r="S55" s="90"/>
      <c r="T55" s="90"/>
      <c r="U55" s="90"/>
      <c r="V55" s="90"/>
      <c r="W55" s="90"/>
      <c r="X55" s="90"/>
      <c r="Y55" s="91"/>
      <c r="AB55" s="89"/>
      <c r="AC55" s="90"/>
      <c r="AD55" s="90"/>
      <c r="AE55" s="90"/>
      <c r="AF55" s="90"/>
      <c r="AG55" s="90"/>
      <c r="AH55" s="90"/>
      <c r="AI55" s="90"/>
      <c r="AJ55" s="90"/>
      <c r="AK55" s="90"/>
      <c r="AL55" s="91"/>
    </row>
    <row r="56" spans="2:38" x14ac:dyDescent="0.2">
      <c r="B56" s="89"/>
      <c r="C56" s="90"/>
      <c r="D56" s="90"/>
      <c r="E56" s="90"/>
      <c r="F56" s="90"/>
      <c r="G56" s="90"/>
      <c r="H56" s="90"/>
      <c r="I56" s="90"/>
      <c r="J56" s="90"/>
      <c r="K56" s="90"/>
      <c r="L56" s="91"/>
      <c r="O56" s="89"/>
      <c r="P56" s="90"/>
      <c r="Q56" s="90"/>
      <c r="R56" s="90"/>
      <c r="S56" s="90"/>
      <c r="T56" s="90"/>
      <c r="U56" s="90"/>
      <c r="V56" s="90"/>
      <c r="W56" s="90"/>
      <c r="X56" s="90"/>
      <c r="Y56" s="91"/>
      <c r="AB56" s="89"/>
      <c r="AC56" s="90"/>
      <c r="AD56" s="90"/>
      <c r="AE56" s="90"/>
      <c r="AF56" s="90"/>
      <c r="AG56" s="90"/>
      <c r="AH56" s="90"/>
      <c r="AI56" s="90"/>
      <c r="AJ56" s="90"/>
      <c r="AK56" s="90"/>
      <c r="AL56" s="91"/>
    </row>
    <row r="57" spans="2:38" x14ac:dyDescent="0.2">
      <c r="B57" s="89"/>
      <c r="C57" s="90"/>
      <c r="D57" s="90"/>
      <c r="E57" s="90"/>
      <c r="F57" s="90"/>
      <c r="G57" s="90"/>
      <c r="H57" s="90"/>
      <c r="I57" s="90"/>
      <c r="J57" s="90"/>
      <c r="K57" s="90"/>
      <c r="L57" s="91"/>
      <c r="O57" s="89"/>
      <c r="P57" s="90"/>
      <c r="Q57" s="90"/>
      <c r="R57" s="90"/>
      <c r="S57" s="90"/>
      <c r="T57" s="90"/>
      <c r="U57" s="90"/>
      <c r="V57" s="90"/>
      <c r="W57" s="90"/>
      <c r="X57" s="90"/>
      <c r="Y57" s="91"/>
      <c r="AB57" s="89"/>
      <c r="AC57" s="90"/>
      <c r="AD57" s="90"/>
      <c r="AE57" s="90"/>
      <c r="AF57" s="90"/>
      <c r="AG57" s="90"/>
      <c r="AH57" s="90"/>
      <c r="AI57" s="90"/>
      <c r="AJ57" s="90"/>
      <c r="AK57" s="90"/>
      <c r="AL57" s="91"/>
    </row>
    <row r="58" spans="2:38" x14ac:dyDescent="0.2">
      <c r="B58" s="89"/>
      <c r="C58" s="90"/>
      <c r="D58" s="90"/>
      <c r="E58" s="90"/>
      <c r="F58" s="90"/>
      <c r="G58" s="90"/>
      <c r="H58" s="90"/>
      <c r="I58" s="90"/>
      <c r="J58" s="90"/>
      <c r="K58" s="90"/>
      <c r="L58" s="91"/>
      <c r="O58" s="89"/>
      <c r="P58" s="90"/>
      <c r="Q58" s="90"/>
      <c r="R58" s="90"/>
      <c r="S58" s="90"/>
      <c r="T58" s="90"/>
      <c r="U58" s="90"/>
      <c r="V58" s="90"/>
      <c r="W58" s="90"/>
      <c r="X58" s="90"/>
      <c r="Y58" s="91"/>
      <c r="AB58" s="89"/>
      <c r="AC58" s="90"/>
      <c r="AD58" s="90"/>
      <c r="AE58" s="90"/>
      <c r="AF58" s="90"/>
      <c r="AG58" s="90"/>
      <c r="AH58" s="90"/>
      <c r="AI58" s="90"/>
      <c r="AJ58" s="90"/>
      <c r="AK58" s="90"/>
      <c r="AL58" s="91"/>
    </row>
    <row r="59" spans="2:38" x14ac:dyDescent="0.2">
      <c r="B59" s="89"/>
      <c r="C59" s="90"/>
      <c r="D59" s="90"/>
      <c r="E59" s="90"/>
      <c r="F59" s="90"/>
      <c r="G59" s="90"/>
      <c r="H59" s="90"/>
      <c r="I59" s="90"/>
      <c r="J59" s="90"/>
      <c r="K59" s="90"/>
      <c r="L59" s="91"/>
      <c r="O59" s="89"/>
      <c r="P59" s="90"/>
      <c r="Q59" s="90"/>
      <c r="R59" s="90"/>
      <c r="S59" s="90"/>
      <c r="T59" s="90"/>
      <c r="U59" s="90"/>
      <c r="V59" s="90"/>
      <c r="W59" s="90"/>
      <c r="X59" s="90"/>
      <c r="Y59" s="91"/>
      <c r="AB59" s="89"/>
      <c r="AC59" s="90"/>
      <c r="AD59" s="90"/>
      <c r="AE59" s="90"/>
      <c r="AF59" s="90"/>
      <c r="AG59" s="90"/>
      <c r="AH59" s="90"/>
      <c r="AI59" s="90"/>
      <c r="AJ59" s="90"/>
      <c r="AK59" s="90"/>
      <c r="AL59" s="91"/>
    </row>
    <row r="60" spans="2:38" x14ac:dyDescent="0.2">
      <c r="B60" s="89"/>
      <c r="C60" s="90"/>
      <c r="D60" s="90"/>
      <c r="E60" s="90"/>
      <c r="F60" s="90"/>
      <c r="G60" s="90"/>
      <c r="H60" s="90"/>
      <c r="I60" s="90"/>
      <c r="J60" s="90"/>
      <c r="K60" s="90"/>
      <c r="L60" s="91"/>
      <c r="O60" s="89"/>
      <c r="P60" s="90"/>
      <c r="Q60" s="90"/>
      <c r="R60" s="90"/>
      <c r="S60" s="90"/>
      <c r="T60" s="90"/>
      <c r="U60" s="90"/>
      <c r="V60" s="90"/>
      <c r="W60" s="90"/>
      <c r="X60" s="90"/>
      <c r="Y60" s="91"/>
      <c r="AB60" s="89"/>
      <c r="AC60" s="90"/>
      <c r="AD60" s="90"/>
      <c r="AE60" s="90"/>
      <c r="AF60" s="90"/>
      <c r="AG60" s="90"/>
      <c r="AH60" s="90"/>
      <c r="AI60" s="90"/>
      <c r="AJ60" s="90"/>
      <c r="AK60" s="90"/>
      <c r="AL60" s="91"/>
    </row>
    <row r="61" spans="2:38" x14ac:dyDescent="0.2">
      <c r="B61" s="89"/>
      <c r="C61" s="90"/>
      <c r="D61" s="90"/>
      <c r="E61" s="90"/>
      <c r="F61" s="90"/>
      <c r="G61" s="90"/>
      <c r="H61" s="90"/>
      <c r="I61" s="90"/>
      <c r="J61" s="90"/>
      <c r="K61" s="90"/>
      <c r="L61" s="91"/>
      <c r="O61" s="89"/>
      <c r="P61" s="90"/>
      <c r="Q61" s="90"/>
      <c r="R61" s="90"/>
      <c r="S61" s="90"/>
      <c r="T61" s="90"/>
      <c r="U61" s="90"/>
      <c r="V61" s="90"/>
      <c r="W61" s="90"/>
      <c r="X61" s="90"/>
      <c r="Y61" s="91"/>
      <c r="AB61" s="89"/>
      <c r="AC61" s="90"/>
      <c r="AD61" s="90"/>
      <c r="AE61" s="90"/>
      <c r="AF61" s="90"/>
      <c r="AG61" s="90"/>
      <c r="AH61" s="90"/>
      <c r="AI61" s="90"/>
      <c r="AJ61" s="90"/>
      <c r="AK61" s="90"/>
      <c r="AL61" s="91"/>
    </row>
    <row r="62" spans="2:38" x14ac:dyDescent="0.2">
      <c r="B62" s="89"/>
      <c r="C62" s="90"/>
      <c r="D62" s="90"/>
      <c r="E62" s="90"/>
      <c r="F62" s="90"/>
      <c r="G62" s="90"/>
      <c r="H62" s="90"/>
      <c r="I62" s="90"/>
      <c r="J62" s="90"/>
      <c r="K62" s="90"/>
      <c r="L62" s="91"/>
      <c r="O62" s="89"/>
      <c r="P62" s="90"/>
      <c r="Q62" s="90"/>
      <c r="R62" s="90"/>
      <c r="S62" s="90"/>
      <c r="T62" s="90"/>
      <c r="U62" s="90"/>
      <c r="V62" s="90"/>
      <c r="W62" s="90"/>
      <c r="X62" s="90"/>
      <c r="Y62" s="91"/>
      <c r="AB62" s="89"/>
      <c r="AC62" s="90"/>
      <c r="AD62" s="90"/>
      <c r="AE62" s="90"/>
      <c r="AF62" s="90"/>
      <c r="AG62" s="90"/>
      <c r="AH62" s="90"/>
      <c r="AI62" s="90"/>
      <c r="AJ62" s="90"/>
      <c r="AK62" s="90"/>
      <c r="AL62" s="91"/>
    </row>
    <row r="63" spans="2:38" x14ac:dyDescent="0.2">
      <c r="B63" s="89"/>
      <c r="C63" s="90"/>
      <c r="D63" s="90"/>
      <c r="E63" s="90"/>
      <c r="F63" s="90"/>
      <c r="G63" s="90"/>
      <c r="H63" s="90"/>
      <c r="I63" s="90"/>
      <c r="J63" s="90"/>
      <c r="K63" s="90"/>
      <c r="L63" s="91"/>
      <c r="O63" s="89"/>
      <c r="P63" s="90"/>
      <c r="Q63" s="90"/>
      <c r="R63" s="90"/>
      <c r="S63" s="90"/>
      <c r="T63" s="90"/>
      <c r="U63" s="90"/>
      <c r="V63" s="90"/>
      <c r="W63" s="90"/>
      <c r="X63" s="90"/>
      <c r="Y63" s="91"/>
      <c r="AB63" s="89"/>
      <c r="AC63" s="90"/>
      <c r="AD63" s="90"/>
      <c r="AE63" s="90"/>
      <c r="AF63" s="90"/>
      <c r="AG63" s="90"/>
      <c r="AH63" s="90"/>
      <c r="AI63" s="90"/>
      <c r="AJ63" s="90"/>
      <c r="AK63" s="90"/>
      <c r="AL63" s="91"/>
    </row>
    <row r="64" spans="2:38" x14ac:dyDescent="0.2">
      <c r="B64" s="89"/>
      <c r="C64" s="90"/>
      <c r="D64" s="90"/>
      <c r="E64" s="90"/>
      <c r="F64" s="90"/>
      <c r="G64" s="90"/>
      <c r="H64" s="90"/>
      <c r="I64" s="90"/>
      <c r="J64" s="90"/>
      <c r="K64" s="90"/>
      <c r="L64" s="91"/>
      <c r="O64" s="89"/>
      <c r="P64" s="90"/>
      <c r="Q64" s="90"/>
      <c r="R64" s="90"/>
      <c r="S64" s="90"/>
      <c r="T64" s="90"/>
      <c r="U64" s="90"/>
      <c r="V64" s="90"/>
      <c r="W64" s="90"/>
      <c r="X64" s="90"/>
      <c r="Y64" s="91"/>
      <c r="AB64" s="89"/>
      <c r="AC64" s="90"/>
      <c r="AD64" s="90"/>
      <c r="AE64" s="90"/>
      <c r="AF64" s="90"/>
      <c r="AG64" s="90"/>
      <c r="AH64" s="90"/>
      <c r="AI64" s="90"/>
      <c r="AJ64" s="90"/>
      <c r="AK64" s="90"/>
      <c r="AL64" s="91"/>
    </row>
    <row r="65" spans="2:38" x14ac:dyDescent="0.2">
      <c r="B65" s="89"/>
      <c r="C65" s="90"/>
      <c r="D65" s="90"/>
      <c r="E65" s="90"/>
      <c r="F65" s="90"/>
      <c r="G65" s="90"/>
      <c r="H65" s="90"/>
      <c r="I65" s="90"/>
      <c r="J65" s="90"/>
      <c r="K65" s="90"/>
      <c r="L65" s="91"/>
      <c r="O65" s="89"/>
      <c r="P65" s="90"/>
      <c r="Q65" s="90"/>
      <c r="R65" s="90"/>
      <c r="S65" s="90"/>
      <c r="T65" s="90"/>
      <c r="U65" s="90"/>
      <c r="V65" s="90"/>
      <c r="W65" s="90"/>
      <c r="X65" s="90"/>
      <c r="Y65" s="91"/>
      <c r="AB65" s="89"/>
      <c r="AC65" s="90"/>
      <c r="AD65" s="90"/>
      <c r="AE65" s="90"/>
      <c r="AF65" s="90"/>
      <c r="AG65" s="90"/>
      <c r="AH65" s="90"/>
      <c r="AI65" s="90"/>
      <c r="AJ65" s="90"/>
      <c r="AK65" s="90"/>
      <c r="AL65" s="91"/>
    </row>
    <row r="66" spans="2:38" x14ac:dyDescent="0.2">
      <c r="B66" s="89"/>
      <c r="C66" s="90"/>
      <c r="D66" s="90"/>
      <c r="E66" s="90"/>
      <c r="F66" s="90"/>
      <c r="G66" s="90"/>
      <c r="H66" s="90"/>
      <c r="I66" s="90"/>
      <c r="J66" s="90"/>
      <c r="K66" s="90"/>
      <c r="L66" s="91"/>
      <c r="O66" s="89"/>
      <c r="P66" s="90"/>
      <c r="Q66" s="90"/>
      <c r="R66" s="90"/>
      <c r="S66" s="90"/>
      <c r="T66" s="90"/>
      <c r="U66" s="90"/>
      <c r="V66" s="90"/>
      <c r="W66" s="90"/>
      <c r="X66" s="90"/>
      <c r="Y66" s="91"/>
      <c r="AB66" s="89"/>
      <c r="AC66" s="90"/>
      <c r="AD66" s="90"/>
      <c r="AE66" s="90"/>
      <c r="AF66" s="90"/>
      <c r="AG66" s="90"/>
      <c r="AH66" s="90"/>
      <c r="AI66" s="90"/>
      <c r="AJ66" s="90"/>
      <c r="AK66" s="90"/>
      <c r="AL66" s="91"/>
    </row>
    <row r="67" spans="2:38" x14ac:dyDescent="0.2">
      <c r="B67" s="89"/>
      <c r="C67" s="90"/>
      <c r="D67" s="90"/>
      <c r="E67" s="90"/>
      <c r="F67" s="90"/>
      <c r="G67" s="90"/>
      <c r="H67" s="90"/>
      <c r="I67" s="90"/>
      <c r="J67" s="90"/>
      <c r="K67" s="90"/>
      <c r="L67" s="91"/>
      <c r="O67" s="89"/>
      <c r="P67" s="90"/>
      <c r="Q67" s="90"/>
      <c r="R67" s="90"/>
      <c r="S67" s="90"/>
      <c r="T67" s="90"/>
      <c r="U67" s="90"/>
      <c r="V67" s="90"/>
      <c r="W67" s="90"/>
      <c r="X67" s="90"/>
      <c r="Y67" s="91"/>
      <c r="AB67" s="89"/>
      <c r="AC67" s="90"/>
      <c r="AD67" s="90"/>
      <c r="AE67" s="90"/>
      <c r="AF67" s="90"/>
      <c r="AG67" s="90"/>
      <c r="AH67" s="90"/>
      <c r="AI67" s="90"/>
      <c r="AJ67" s="90"/>
      <c r="AK67" s="90"/>
      <c r="AL67" s="91"/>
    </row>
    <row r="68" spans="2:38" x14ac:dyDescent="0.2">
      <c r="B68" s="89"/>
      <c r="C68" s="90"/>
      <c r="D68" s="90"/>
      <c r="E68" s="90"/>
      <c r="F68" s="90"/>
      <c r="G68" s="90"/>
      <c r="H68" s="90"/>
      <c r="I68" s="90"/>
      <c r="J68" s="90"/>
      <c r="K68" s="90"/>
      <c r="L68" s="91"/>
      <c r="O68" s="89"/>
      <c r="P68" s="90"/>
      <c r="Q68" s="90"/>
      <c r="R68" s="90"/>
      <c r="S68" s="90"/>
      <c r="T68" s="90"/>
      <c r="U68" s="90"/>
      <c r="V68" s="90"/>
      <c r="W68" s="90"/>
      <c r="X68" s="90"/>
      <c r="Y68" s="91"/>
      <c r="AB68" s="89"/>
      <c r="AC68" s="90"/>
      <c r="AD68" s="90"/>
      <c r="AE68" s="90"/>
      <c r="AF68" s="90"/>
      <c r="AG68" s="90"/>
      <c r="AH68" s="90"/>
      <c r="AI68" s="90"/>
      <c r="AJ68" s="90"/>
      <c r="AK68" s="90"/>
      <c r="AL68" s="91"/>
    </row>
    <row r="69" spans="2:38" x14ac:dyDescent="0.2">
      <c r="B69" s="89"/>
      <c r="C69" s="90"/>
      <c r="D69" s="90"/>
      <c r="E69" s="90"/>
      <c r="F69" s="90"/>
      <c r="G69" s="90"/>
      <c r="H69" s="90"/>
      <c r="I69" s="90"/>
      <c r="J69" s="90"/>
      <c r="K69" s="90"/>
      <c r="L69" s="91"/>
      <c r="O69" s="89"/>
      <c r="P69" s="90"/>
      <c r="Q69" s="90"/>
      <c r="R69" s="90"/>
      <c r="S69" s="90"/>
      <c r="T69" s="90"/>
      <c r="U69" s="90"/>
      <c r="V69" s="90"/>
      <c r="W69" s="90"/>
      <c r="X69" s="90"/>
      <c r="Y69" s="91"/>
      <c r="AB69" s="89"/>
      <c r="AC69" s="90"/>
      <c r="AD69" s="90"/>
      <c r="AE69" s="90"/>
      <c r="AF69" s="90"/>
      <c r="AG69" s="90"/>
      <c r="AH69" s="90"/>
      <c r="AI69" s="90"/>
      <c r="AJ69" s="90"/>
      <c r="AK69" s="90"/>
      <c r="AL69" s="91"/>
    </row>
    <row r="70" spans="2:38" x14ac:dyDescent="0.2">
      <c r="B70" s="89"/>
      <c r="C70" s="90"/>
      <c r="D70" s="90"/>
      <c r="E70" s="90"/>
      <c r="F70" s="90"/>
      <c r="G70" s="90"/>
      <c r="H70" s="90"/>
      <c r="I70" s="90"/>
      <c r="J70" s="90"/>
      <c r="K70" s="90"/>
      <c r="L70" s="91"/>
      <c r="O70" s="89"/>
      <c r="P70" s="90"/>
      <c r="Q70" s="90"/>
      <c r="R70" s="90"/>
      <c r="S70" s="90"/>
      <c r="T70" s="90"/>
      <c r="U70" s="90"/>
      <c r="V70" s="90"/>
      <c r="W70" s="90"/>
      <c r="X70" s="90"/>
      <c r="Y70" s="91"/>
      <c r="AB70" s="89"/>
      <c r="AC70" s="90"/>
      <c r="AD70" s="90"/>
      <c r="AE70" s="90"/>
      <c r="AF70" s="90"/>
      <c r="AG70" s="90"/>
      <c r="AH70" s="90"/>
      <c r="AI70" s="90"/>
      <c r="AJ70" s="90"/>
      <c r="AK70" s="90"/>
      <c r="AL70" s="91"/>
    </row>
    <row r="71" spans="2:38" x14ac:dyDescent="0.2">
      <c r="B71" s="89"/>
      <c r="C71" s="90"/>
      <c r="D71" s="90"/>
      <c r="E71" s="90"/>
      <c r="F71" s="90"/>
      <c r="G71" s="90"/>
      <c r="H71" s="90"/>
      <c r="I71" s="90"/>
      <c r="J71" s="90"/>
      <c r="K71" s="90"/>
      <c r="L71" s="91"/>
      <c r="O71" s="89"/>
      <c r="P71" s="90"/>
      <c r="Q71" s="90"/>
      <c r="R71" s="90"/>
      <c r="S71" s="90"/>
      <c r="T71" s="90"/>
      <c r="U71" s="90"/>
      <c r="V71" s="90"/>
      <c r="W71" s="90"/>
      <c r="X71" s="90"/>
      <c r="Y71" s="91"/>
      <c r="AB71" s="89"/>
      <c r="AC71" s="90"/>
      <c r="AD71" s="90"/>
      <c r="AE71" s="90"/>
      <c r="AF71" s="90"/>
      <c r="AG71" s="90"/>
      <c r="AH71" s="90"/>
      <c r="AI71" s="90"/>
      <c r="AJ71" s="90"/>
      <c r="AK71" s="90"/>
      <c r="AL71" s="91"/>
    </row>
    <row r="72" spans="2:38" x14ac:dyDescent="0.2">
      <c r="B72" s="89"/>
      <c r="C72" s="90"/>
      <c r="D72" s="90"/>
      <c r="E72" s="90"/>
      <c r="F72" s="90"/>
      <c r="G72" s="90"/>
      <c r="H72" s="90"/>
      <c r="I72" s="90"/>
      <c r="J72" s="90"/>
      <c r="K72" s="90"/>
      <c r="L72" s="91"/>
      <c r="O72" s="89"/>
      <c r="P72" s="90"/>
      <c r="Q72" s="90"/>
      <c r="R72" s="90"/>
      <c r="S72" s="90"/>
      <c r="T72" s="90"/>
      <c r="U72" s="90"/>
      <c r="V72" s="90"/>
      <c r="W72" s="90"/>
      <c r="X72" s="90"/>
      <c r="Y72" s="91"/>
      <c r="AB72" s="89"/>
      <c r="AC72" s="90"/>
      <c r="AD72" s="90"/>
      <c r="AE72" s="90"/>
      <c r="AF72" s="90"/>
      <c r="AG72" s="90"/>
      <c r="AH72" s="90"/>
      <c r="AI72" s="90"/>
      <c r="AJ72" s="90"/>
      <c r="AK72" s="90"/>
      <c r="AL72" s="91"/>
    </row>
    <row r="73" spans="2:38" x14ac:dyDescent="0.2">
      <c r="B73" s="89"/>
      <c r="C73" s="90"/>
      <c r="D73" s="90"/>
      <c r="E73" s="90"/>
      <c r="F73" s="90"/>
      <c r="G73" s="90"/>
      <c r="H73" s="90"/>
      <c r="I73" s="90"/>
      <c r="J73" s="90"/>
      <c r="K73" s="90"/>
      <c r="L73" s="91"/>
      <c r="O73" s="89"/>
      <c r="P73" s="90"/>
      <c r="Q73" s="90"/>
      <c r="R73" s="90"/>
      <c r="S73" s="90"/>
      <c r="T73" s="90"/>
      <c r="U73" s="90"/>
      <c r="V73" s="90"/>
      <c r="W73" s="90"/>
      <c r="X73" s="90"/>
      <c r="Y73" s="91"/>
      <c r="AB73" s="89"/>
      <c r="AC73" s="90"/>
      <c r="AD73" s="90"/>
      <c r="AE73" s="90"/>
      <c r="AF73" s="90"/>
      <c r="AG73" s="90"/>
      <c r="AH73" s="90"/>
      <c r="AI73" s="90"/>
      <c r="AJ73" s="90"/>
      <c r="AK73" s="90"/>
      <c r="AL73" s="91"/>
    </row>
    <row r="74" spans="2:38" x14ac:dyDescent="0.2">
      <c r="B74" s="89"/>
      <c r="C74" s="90"/>
      <c r="D74" s="90"/>
      <c r="E74" s="90"/>
      <c r="F74" s="90"/>
      <c r="G74" s="90"/>
      <c r="H74" s="90"/>
      <c r="I74" s="90"/>
      <c r="J74" s="90"/>
      <c r="K74" s="90"/>
      <c r="L74" s="91"/>
      <c r="O74" s="89"/>
      <c r="P74" s="90"/>
      <c r="Q74" s="90"/>
      <c r="R74" s="90"/>
      <c r="S74" s="90"/>
      <c r="T74" s="90"/>
      <c r="U74" s="90"/>
      <c r="V74" s="90"/>
      <c r="W74" s="90"/>
      <c r="X74" s="90"/>
      <c r="Y74" s="91"/>
      <c r="AB74" s="89"/>
      <c r="AC74" s="90"/>
      <c r="AD74" s="90"/>
      <c r="AE74" s="90"/>
      <c r="AF74" s="90"/>
      <c r="AG74" s="90"/>
      <c r="AH74" s="90"/>
      <c r="AI74" s="90"/>
      <c r="AJ74" s="90"/>
      <c r="AK74" s="90"/>
      <c r="AL74" s="91"/>
    </row>
    <row r="75" spans="2:38" x14ac:dyDescent="0.2">
      <c r="B75" s="89"/>
      <c r="C75" s="90"/>
      <c r="D75" s="90"/>
      <c r="E75" s="90"/>
      <c r="F75" s="90"/>
      <c r="G75" s="90"/>
      <c r="H75" s="90"/>
      <c r="I75" s="90"/>
      <c r="J75" s="90"/>
      <c r="K75" s="90"/>
      <c r="L75" s="91"/>
      <c r="O75" s="89"/>
      <c r="P75" s="90"/>
      <c r="Q75" s="90"/>
      <c r="R75" s="90"/>
      <c r="S75" s="90"/>
      <c r="T75" s="90"/>
      <c r="U75" s="90"/>
      <c r="V75" s="90"/>
      <c r="W75" s="90"/>
      <c r="X75" s="90"/>
      <c r="Y75" s="91"/>
      <c r="AB75" s="89"/>
      <c r="AC75" s="90"/>
      <c r="AD75" s="90"/>
      <c r="AE75" s="90"/>
      <c r="AF75" s="90"/>
      <c r="AG75" s="90"/>
      <c r="AH75" s="90"/>
      <c r="AI75" s="90"/>
      <c r="AJ75" s="90"/>
      <c r="AK75" s="90"/>
      <c r="AL75" s="91"/>
    </row>
    <row r="76" spans="2:38" x14ac:dyDescent="0.2">
      <c r="B76" s="89"/>
      <c r="C76" s="90"/>
      <c r="D76" s="90"/>
      <c r="E76" s="90"/>
      <c r="F76" s="90"/>
      <c r="G76" s="90"/>
      <c r="H76" s="90"/>
      <c r="I76" s="90"/>
      <c r="J76" s="90"/>
      <c r="K76" s="90"/>
      <c r="L76" s="91"/>
      <c r="O76" s="89"/>
      <c r="P76" s="90"/>
      <c r="Q76" s="90"/>
      <c r="R76" s="90"/>
      <c r="S76" s="90"/>
      <c r="T76" s="90"/>
      <c r="U76" s="90"/>
      <c r="V76" s="90"/>
      <c r="W76" s="90"/>
      <c r="X76" s="90"/>
      <c r="Y76" s="91"/>
      <c r="AB76" s="89"/>
      <c r="AC76" s="90"/>
      <c r="AD76" s="90"/>
      <c r="AE76" s="90"/>
      <c r="AF76" s="90"/>
      <c r="AG76" s="90"/>
      <c r="AH76" s="90"/>
      <c r="AI76" s="90"/>
      <c r="AJ76" s="90"/>
      <c r="AK76" s="90"/>
      <c r="AL76" s="91"/>
    </row>
    <row r="77" spans="2:38" x14ac:dyDescent="0.2">
      <c r="B77" s="89"/>
      <c r="C77" s="90"/>
      <c r="D77" s="90"/>
      <c r="E77" s="90"/>
      <c r="F77" s="90"/>
      <c r="G77" s="90"/>
      <c r="H77" s="90"/>
      <c r="I77" s="90"/>
      <c r="J77" s="90"/>
      <c r="K77" s="90"/>
      <c r="L77" s="91"/>
      <c r="O77" s="89"/>
      <c r="P77" s="90"/>
      <c r="Q77" s="90"/>
      <c r="R77" s="90"/>
      <c r="S77" s="90"/>
      <c r="T77" s="90"/>
      <c r="U77" s="90"/>
      <c r="V77" s="90"/>
      <c r="W77" s="90"/>
      <c r="X77" s="90"/>
      <c r="Y77" s="91"/>
      <c r="AB77" s="89"/>
      <c r="AC77" s="90"/>
      <c r="AD77" s="90"/>
      <c r="AE77" s="90"/>
      <c r="AF77" s="90"/>
      <c r="AG77" s="90"/>
      <c r="AH77" s="90"/>
      <c r="AI77" s="90"/>
      <c r="AJ77" s="90"/>
      <c r="AK77" s="90"/>
      <c r="AL77" s="91"/>
    </row>
    <row r="78" spans="2:38" x14ac:dyDescent="0.2">
      <c r="B78" s="89"/>
      <c r="C78" s="90"/>
      <c r="D78" s="90"/>
      <c r="E78" s="90"/>
      <c r="F78" s="90"/>
      <c r="G78" s="90"/>
      <c r="H78" s="90"/>
      <c r="I78" s="90"/>
      <c r="J78" s="90"/>
      <c r="K78" s="90"/>
      <c r="L78" s="91"/>
      <c r="O78" s="89"/>
      <c r="P78" s="90"/>
      <c r="Q78" s="90"/>
      <c r="R78" s="90"/>
      <c r="S78" s="90"/>
      <c r="T78" s="90"/>
      <c r="U78" s="90"/>
      <c r="V78" s="90"/>
      <c r="W78" s="90"/>
      <c r="X78" s="90"/>
      <c r="Y78" s="91"/>
      <c r="AB78" s="89"/>
      <c r="AC78" s="90"/>
      <c r="AD78" s="90"/>
      <c r="AE78" s="90"/>
      <c r="AF78" s="90"/>
      <c r="AG78" s="90"/>
      <c r="AH78" s="90"/>
      <c r="AI78" s="90"/>
      <c r="AJ78" s="90"/>
      <c r="AK78" s="90"/>
      <c r="AL78" s="91"/>
    </row>
    <row r="79" spans="2:38" x14ac:dyDescent="0.2">
      <c r="B79" s="89"/>
      <c r="C79" s="90"/>
      <c r="D79" s="90"/>
      <c r="E79" s="90"/>
      <c r="F79" s="90"/>
      <c r="G79" s="90"/>
      <c r="H79" s="90"/>
      <c r="I79" s="90"/>
      <c r="J79" s="90"/>
      <c r="K79" s="90"/>
      <c r="L79" s="91"/>
      <c r="O79" s="89"/>
      <c r="P79" s="90"/>
      <c r="Q79" s="90"/>
      <c r="R79" s="90"/>
      <c r="S79" s="90"/>
      <c r="T79" s="90"/>
      <c r="U79" s="90"/>
      <c r="V79" s="90"/>
      <c r="W79" s="90"/>
      <c r="X79" s="90"/>
      <c r="Y79" s="91"/>
      <c r="AB79" s="89"/>
      <c r="AC79" s="90"/>
      <c r="AD79" s="90"/>
      <c r="AE79" s="90"/>
      <c r="AF79" s="90"/>
      <c r="AG79" s="90"/>
      <c r="AH79" s="90"/>
      <c r="AI79" s="90"/>
      <c r="AJ79" s="90"/>
      <c r="AK79" s="90"/>
      <c r="AL79" s="91"/>
    </row>
    <row r="80" spans="2:38" x14ac:dyDescent="0.2">
      <c r="B80" s="89"/>
      <c r="C80" s="90"/>
      <c r="D80" s="90"/>
      <c r="E80" s="90"/>
      <c r="F80" s="90"/>
      <c r="G80" s="90"/>
      <c r="H80" s="90"/>
      <c r="I80" s="90"/>
      <c r="J80" s="90"/>
      <c r="K80" s="90"/>
      <c r="L80" s="91"/>
      <c r="O80" s="89"/>
      <c r="P80" s="90"/>
      <c r="Q80" s="90"/>
      <c r="R80" s="90"/>
      <c r="S80" s="90"/>
      <c r="T80" s="90"/>
      <c r="U80" s="90"/>
      <c r="V80" s="90"/>
      <c r="W80" s="90"/>
      <c r="X80" s="90"/>
      <c r="Y80" s="91"/>
      <c r="AB80" s="89"/>
      <c r="AC80" s="90"/>
      <c r="AD80" s="90"/>
      <c r="AE80" s="90"/>
      <c r="AF80" s="90"/>
      <c r="AG80" s="90"/>
      <c r="AH80" s="90"/>
      <c r="AI80" s="90"/>
      <c r="AJ80" s="90"/>
      <c r="AK80" s="90"/>
      <c r="AL80" s="91"/>
    </row>
    <row r="81" spans="2:38" x14ac:dyDescent="0.2">
      <c r="B81" s="89"/>
      <c r="C81" s="90"/>
      <c r="D81" s="90"/>
      <c r="E81" s="90"/>
      <c r="F81" s="90"/>
      <c r="G81" s="90"/>
      <c r="H81" s="90"/>
      <c r="I81" s="90"/>
      <c r="J81" s="90"/>
      <c r="K81" s="90"/>
      <c r="L81" s="91"/>
      <c r="O81" s="89"/>
      <c r="P81" s="90"/>
      <c r="Q81" s="90"/>
      <c r="R81" s="90"/>
      <c r="S81" s="90"/>
      <c r="T81" s="90"/>
      <c r="U81" s="90"/>
      <c r="V81" s="90"/>
      <c r="W81" s="90"/>
      <c r="X81" s="90"/>
      <c r="Y81" s="91"/>
      <c r="AB81" s="89"/>
      <c r="AC81" s="90"/>
      <c r="AD81" s="90"/>
      <c r="AE81" s="90"/>
      <c r="AF81" s="90"/>
      <c r="AG81" s="90"/>
      <c r="AH81" s="90"/>
      <c r="AI81" s="90"/>
      <c r="AJ81" s="90"/>
      <c r="AK81" s="90"/>
      <c r="AL81" s="91"/>
    </row>
    <row r="82" spans="2:38" x14ac:dyDescent="0.2">
      <c r="B82" s="89"/>
      <c r="C82" s="90"/>
      <c r="D82" s="90"/>
      <c r="E82" s="90"/>
      <c r="F82" s="90"/>
      <c r="G82" s="90"/>
      <c r="H82" s="90"/>
      <c r="I82" s="90"/>
      <c r="J82" s="90"/>
      <c r="K82" s="90"/>
      <c r="L82" s="91"/>
      <c r="O82" s="89"/>
      <c r="P82" s="90"/>
      <c r="Q82" s="90"/>
      <c r="R82" s="90"/>
      <c r="S82" s="90"/>
      <c r="T82" s="90"/>
      <c r="U82" s="90"/>
      <c r="V82" s="90"/>
      <c r="W82" s="90"/>
      <c r="X82" s="90"/>
      <c r="Y82" s="91"/>
      <c r="AB82" s="89"/>
      <c r="AC82" s="90"/>
      <c r="AD82" s="90"/>
      <c r="AE82" s="90"/>
      <c r="AF82" s="90"/>
      <c r="AG82" s="90"/>
      <c r="AH82" s="90"/>
      <c r="AI82" s="90"/>
      <c r="AJ82" s="90"/>
      <c r="AK82" s="90"/>
      <c r="AL82" s="91"/>
    </row>
    <row r="83" spans="2:38" x14ac:dyDescent="0.2">
      <c r="B83" s="89"/>
      <c r="C83" s="90"/>
      <c r="D83" s="90"/>
      <c r="E83" s="90"/>
      <c r="F83" s="90"/>
      <c r="G83" s="90"/>
      <c r="H83" s="90"/>
      <c r="I83" s="90"/>
      <c r="J83" s="90"/>
      <c r="K83" s="90"/>
      <c r="L83" s="91"/>
      <c r="O83" s="89"/>
      <c r="P83" s="90"/>
      <c r="Q83" s="90"/>
      <c r="R83" s="90"/>
      <c r="S83" s="90"/>
      <c r="T83" s="90"/>
      <c r="U83" s="90"/>
      <c r="V83" s="90"/>
      <c r="W83" s="90"/>
      <c r="X83" s="90"/>
      <c r="Y83" s="91"/>
      <c r="AB83" s="89"/>
      <c r="AC83" s="90"/>
      <c r="AD83" s="90"/>
      <c r="AE83" s="90"/>
      <c r="AF83" s="90"/>
      <c r="AG83" s="90"/>
      <c r="AH83" s="90"/>
      <c r="AI83" s="90"/>
      <c r="AJ83" s="90"/>
      <c r="AK83" s="90"/>
      <c r="AL83" s="91"/>
    </row>
    <row r="84" spans="2:38" x14ac:dyDescent="0.2">
      <c r="B84" s="89"/>
      <c r="C84" s="90"/>
      <c r="D84" s="90"/>
      <c r="E84" s="90"/>
      <c r="F84" s="90"/>
      <c r="G84" s="90"/>
      <c r="H84" s="90"/>
      <c r="I84" s="90"/>
      <c r="J84" s="90"/>
      <c r="K84" s="90"/>
      <c r="L84" s="91"/>
      <c r="O84" s="89"/>
      <c r="P84" s="90"/>
      <c r="Q84" s="90"/>
      <c r="R84" s="90"/>
      <c r="S84" s="90"/>
      <c r="T84" s="90"/>
      <c r="U84" s="90"/>
      <c r="V84" s="90"/>
      <c r="W84" s="90"/>
      <c r="X84" s="90"/>
      <c r="Y84" s="91"/>
      <c r="AB84" s="89"/>
      <c r="AC84" s="90"/>
      <c r="AD84" s="90"/>
      <c r="AE84" s="90"/>
      <c r="AF84" s="90"/>
      <c r="AG84" s="90"/>
      <c r="AH84" s="90"/>
      <c r="AI84" s="90"/>
      <c r="AJ84" s="90"/>
      <c r="AK84" s="90"/>
      <c r="AL84" s="91"/>
    </row>
    <row r="85" spans="2:38" x14ac:dyDescent="0.2">
      <c r="B85" s="89"/>
      <c r="C85" s="90"/>
      <c r="D85" s="90"/>
      <c r="E85" s="90"/>
      <c r="F85" s="90"/>
      <c r="G85" s="90"/>
      <c r="H85" s="90"/>
      <c r="I85" s="90"/>
      <c r="J85" s="90"/>
      <c r="K85" s="90"/>
      <c r="L85" s="91"/>
      <c r="O85" s="89"/>
      <c r="P85" s="90"/>
      <c r="Q85" s="90"/>
      <c r="R85" s="90"/>
      <c r="S85" s="90"/>
      <c r="T85" s="90"/>
      <c r="U85" s="90"/>
      <c r="V85" s="90"/>
      <c r="W85" s="90"/>
      <c r="X85" s="90"/>
      <c r="Y85" s="91"/>
      <c r="AB85" s="89"/>
      <c r="AC85" s="90"/>
      <c r="AD85" s="90"/>
      <c r="AE85" s="90"/>
      <c r="AF85" s="90"/>
      <c r="AG85" s="90"/>
      <c r="AH85" s="90"/>
      <c r="AI85" s="90"/>
      <c r="AJ85" s="90"/>
      <c r="AK85" s="90"/>
      <c r="AL85" s="91"/>
    </row>
    <row r="86" spans="2:38" x14ac:dyDescent="0.2">
      <c r="B86" s="89"/>
      <c r="C86" s="90"/>
      <c r="D86" s="90"/>
      <c r="E86" s="90"/>
      <c r="F86" s="90"/>
      <c r="G86" s="90"/>
      <c r="H86" s="90"/>
      <c r="I86" s="90"/>
      <c r="J86" s="90"/>
      <c r="K86" s="90"/>
      <c r="L86" s="91"/>
      <c r="O86" s="89"/>
      <c r="P86" s="90"/>
      <c r="Q86" s="90"/>
      <c r="R86" s="90"/>
      <c r="S86" s="90"/>
      <c r="T86" s="90"/>
      <c r="U86" s="90"/>
      <c r="V86" s="90"/>
      <c r="W86" s="90"/>
      <c r="X86" s="90"/>
      <c r="Y86" s="91"/>
      <c r="AB86" s="89"/>
      <c r="AC86" s="90"/>
      <c r="AD86" s="90"/>
      <c r="AE86" s="90"/>
      <c r="AF86" s="90"/>
      <c r="AG86" s="90"/>
      <c r="AH86" s="90"/>
      <c r="AI86" s="90"/>
      <c r="AJ86" s="90"/>
      <c r="AK86" s="90"/>
      <c r="AL86" s="91"/>
    </row>
    <row r="87" spans="2:38" x14ac:dyDescent="0.2">
      <c r="B87" s="89"/>
      <c r="C87" s="90"/>
      <c r="D87" s="90"/>
      <c r="E87" s="90"/>
      <c r="F87" s="90"/>
      <c r="G87" s="90"/>
      <c r="H87" s="90"/>
      <c r="I87" s="90"/>
      <c r="J87" s="90"/>
      <c r="K87" s="90"/>
      <c r="L87" s="91"/>
      <c r="O87" s="89"/>
      <c r="P87" s="90"/>
      <c r="Q87" s="90"/>
      <c r="R87" s="90"/>
      <c r="S87" s="90"/>
      <c r="T87" s="90"/>
      <c r="U87" s="90"/>
      <c r="V87" s="90"/>
      <c r="W87" s="90"/>
      <c r="X87" s="90"/>
      <c r="Y87" s="91"/>
      <c r="AB87" s="89"/>
      <c r="AC87" s="90"/>
      <c r="AD87" s="90"/>
      <c r="AE87" s="90"/>
      <c r="AF87" s="90"/>
      <c r="AG87" s="90"/>
      <c r="AH87" s="90"/>
      <c r="AI87" s="90"/>
      <c r="AJ87" s="90"/>
      <c r="AK87" s="90"/>
      <c r="AL87" s="91"/>
    </row>
    <row r="88" spans="2:38" x14ac:dyDescent="0.2">
      <c r="B88" s="89"/>
      <c r="C88" s="90"/>
      <c r="D88" s="90"/>
      <c r="E88" s="90"/>
      <c r="F88" s="90"/>
      <c r="G88" s="90"/>
      <c r="H88" s="90"/>
      <c r="I88" s="90"/>
      <c r="J88" s="90"/>
      <c r="K88" s="90"/>
      <c r="L88" s="91"/>
      <c r="O88" s="89"/>
      <c r="P88" s="90"/>
      <c r="Q88" s="90"/>
      <c r="R88" s="90"/>
      <c r="S88" s="90"/>
      <c r="T88" s="90"/>
      <c r="U88" s="90"/>
      <c r="V88" s="90"/>
      <c r="W88" s="90"/>
      <c r="X88" s="90"/>
      <c r="Y88" s="91"/>
      <c r="AB88" s="89"/>
      <c r="AC88" s="90"/>
      <c r="AD88" s="90"/>
      <c r="AE88" s="90"/>
      <c r="AF88" s="90"/>
      <c r="AG88" s="90"/>
      <c r="AH88" s="90"/>
      <c r="AI88" s="90"/>
      <c r="AJ88" s="90"/>
      <c r="AK88" s="90"/>
      <c r="AL88" s="91"/>
    </row>
    <row r="89" spans="2:38" x14ac:dyDescent="0.2">
      <c r="B89" s="89"/>
      <c r="C89" s="90"/>
      <c r="D89" s="90"/>
      <c r="E89" s="90"/>
      <c r="F89" s="90"/>
      <c r="G89" s="90"/>
      <c r="H89" s="90"/>
      <c r="I89" s="90"/>
      <c r="J89" s="90"/>
      <c r="K89" s="90"/>
      <c r="L89" s="91"/>
      <c r="O89" s="89"/>
      <c r="P89" s="90"/>
      <c r="Q89" s="90"/>
      <c r="R89" s="90"/>
      <c r="S89" s="90"/>
      <c r="T89" s="90"/>
      <c r="U89" s="90"/>
      <c r="V89" s="90"/>
      <c r="W89" s="90"/>
      <c r="X89" s="90"/>
      <c r="Y89" s="91"/>
      <c r="AB89" s="89"/>
      <c r="AC89" s="90"/>
      <c r="AD89" s="90"/>
      <c r="AE89" s="90"/>
      <c r="AF89" s="90"/>
      <c r="AG89" s="90"/>
      <c r="AH89" s="90"/>
      <c r="AI89" s="90"/>
      <c r="AJ89" s="90"/>
      <c r="AK89" s="90"/>
      <c r="AL89" s="91"/>
    </row>
    <row r="90" spans="2:38" x14ac:dyDescent="0.2">
      <c r="B90" s="89"/>
      <c r="C90" s="90"/>
      <c r="D90" s="90"/>
      <c r="E90" s="90"/>
      <c r="F90" s="90"/>
      <c r="G90" s="90"/>
      <c r="H90" s="90"/>
      <c r="I90" s="90"/>
      <c r="J90" s="90"/>
      <c r="K90" s="90"/>
      <c r="L90" s="91"/>
      <c r="O90" s="89"/>
      <c r="P90" s="90"/>
      <c r="Q90" s="90"/>
      <c r="R90" s="90"/>
      <c r="S90" s="90"/>
      <c r="T90" s="90"/>
      <c r="U90" s="90"/>
      <c r="V90" s="90"/>
      <c r="W90" s="90"/>
      <c r="X90" s="90"/>
      <c r="Y90" s="91"/>
      <c r="AB90" s="89"/>
      <c r="AC90" s="90"/>
      <c r="AD90" s="90"/>
      <c r="AE90" s="90"/>
      <c r="AF90" s="90"/>
      <c r="AG90" s="90"/>
      <c r="AH90" s="90"/>
      <c r="AI90" s="90"/>
      <c r="AJ90" s="90"/>
      <c r="AK90" s="90"/>
      <c r="AL90" s="91"/>
    </row>
    <row r="91" spans="2:38" x14ac:dyDescent="0.2">
      <c r="B91" s="89"/>
      <c r="C91" s="90"/>
      <c r="D91" s="90"/>
      <c r="E91" s="90"/>
      <c r="F91" s="90"/>
      <c r="G91" s="90"/>
      <c r="H91" s="90"/>
      <c r="I91" s="90"/>
      <c r="J91" s="90"/>
      <c r="K91" s="90"/>
      <c r="L91" s="91"/>
      <c r="O91" s="89"/>
      <c r="P91" s="90"/>
      <c r="Q91" s="90"/>
      <c r="R91" s="90"/>
      <c r="S91" s="90"/>
      <c r="T91" s="90"/>
      <c r="U91" s="90"/>
      <c r="V91" s="90"/>
      <c r="W91" s="90"/>
      <c r="X91" s="90"/>
      <c r="Y91" s="91"/>
      <c r="AB91" s="89"/>
      <c r="AC91" s="90"/>
      <c r="AD91" s="90"/>
      <c r="AE91" s="90"/>
      <c r="AF91" s="90"/>
      <c r="AG91" s="90"/>
      <c r="AH91" s="90"/>
      <c r="AI91" s="90"/>
      <c r="AJ91" s="90"/>
      <c r="AK91" s="90"/>
      <c r="AL91" s="91"/>
    </row>
    <row r="92" spans="2:38" x14ac:dyDescent="0.2">
      <c r="B92" s="89"/>
      <c r="C92" s="90"/>
      <c r="D92" s="90"/>
      <c r="E92" s="90"/>
      <c r="F92" s="90"/>
      <c r="G92" s="90"/>
      <c r="H92" s="90"/>
      <c r="I92" s="90"/>
      <c r="J92" s="90"/>
      <c r="K92" s="90"/>
      <c r="L92" s="91"/>
      <c r="O92" s="89"/>
      <c r="P92" s="90"/>
      <c r="Q92" s="90"/>
      <c r="R92" s="90"/>
      <c r="S92" s="90"/>
      <c r="T92" s="90"/>
      <c r="U92" s="90"/>
      <c r="V92" s="90"/>
      <c r="W92" s="90"/>
      <c r="X92" s="90"/>
      <c r="Y92" s="91"/>
      <c r="AB92" s="89"/>
      <c r="AC92" s="90"/>
      <c r="AD92" s="90"/>
      <c r="AE92" s="90"/>
      <c r="AF92" s="90"/>
      <c r="AG92" s="90"/>
      <c r="AH92" s="90"/>
      <c r="AI92" s="90"/>
      <c r="AJ92" s="90"/>
      <c r="AK92" s="90"/>
      <c r="AL92" s="91"/>
    </row>
    <row r="93" spans="2:38" x14ac:dyDescent="0.2">
      <c r="B93" s="89"/>
      <c r="C93" s="90"/>
      <c r="D93" s="90"/>
      <c r="E93" s="90"/>
      <c r="F93" s="90"/>
      <c r="G93" s="90"/>
      <c r="H93" s="90"/>
      <c r="I93" s="90"/>
      <c r="J93" s="90"/>
      <c r="K93" s="90"/>
      <c r="L93" s="91"/>
      <c r="O93" s="89"/>
      <c r="P93" s="90"/>
      <c r="Q93" s="90"/>
      <c r="R93" s="90"/>
      <c r="S93" s="90"/>
      <c r="T93" s="90"/>
      <c r="U93" s="90"/>
      <c r="V93" s="90"/>
      <c r="W93" s="90"/>
      <c r="X93" s="90"/>
      <c r="Y93" s="91"/>
      <c r="AB93" s="89"/>
      <c r="AC93" s="90"/>
      <c r="AD93" s="90"/>
      <c r="AE93" s="90"/>
      <c r="AF93" s="90"/>
      <c r="AG93" s="90"/>
      <c r="AH93" s="90"/>
      <c r="AI93" s="90"/>
      <c r="AJ93" s="90"/>
      <c r="AK93" s="90"/>
      <c r="AL93" s="91"/>
    </row>
    <row r="94" spans="2:38" x14ac:dyDescent="0.2">
      <c r="B94" s="89"/>
      <c r="C94" s="90"/>
      <c r="D94" s="90"/>
      <c r="E94" s="90"/>
      <c r="F94" s="90"/>
      <c r="G94" s="90"/>
      <c r="H94" s="90"/>
      <c r="I94" s="90"/>
      <c r="J94" s="90"/>
      <c r="K94" s="90"/>
      <c r="L94" s="91"/>
      <c r="O94" s="89"/>
      <c r="P94" s="90"/>
      <c r="Q94" s="90"/>
      <c r="R94" s="90"/>
      <c r="S94" s="90"/>
      <c r="T94" s="90"/>
      <c r="U94" s="90"/>
      <c r="V94" s="90"/>
      <c r="W94" s="90"/>
      <c r="X94" s="90"/>
      <c r="Y94" s="91"/>
      <c r="AB94" s="89"/>
      <c r="AC94" s="90"/>
      <c r="AD94" s="90"/>
      <c r="AE94" s="90"/>
      <c r="AF94" s="90"/>
      <c r="AG94" s="90"/>
      <c r="AH94" s="90"/>
      <c r="AI94" s="90"/>
      <c r="AJ94" s="90"/>
      <c r="AK94" s="90"/>
      <c r="AL94" s="91"/>
    </row>
    <row r="95" spans="2:38" x14ac:dyDescent="0.2">
      <c r="B95" s="89"/>
      <c r="C95" s="90"/>
      <c r="D95" s="90"/>
      <c r="E95" s="90"/>
      <c r="F95" s="90"/>
      <c r="G95" s="90"/>
      <c r="H95" s="90"/>
      <c r="I95" s="90"/>
      <c r="J95" s="90"/>
      <c r="K95" s="90"/>
      <c r="L95" s="91"/>
      <c r="O95" s="89"/>
      <c r="P95" s="90"/>
      <c r="Q95" s="90"/>
      <c r="R95" s="90"/>
      <c r="S95" s="90"/>
      <c r="T95" s="90"/>
      <c r="U95" s="90"/>
      <c r="V95" s="90"/>
      <c r="W95" s="90"/>
      <c r="X95" s="90"/>
      <c r="Y95" s="91"/>
      <c r="AB95" s="89"/>
      <c r="AC95" s="90"/>
      <c r="AD95" s="90"/>
      <c r="AE95" s="90"/>
      <c r="AF95" s="90"/>
      <c r="AG95" s="90"/>
      <c r="AH95" s="90"/>
      <c r="AI95" s="90"/>
      <c r="AJ95" s="90"/>
      <c r="AK95" s="90"/>
      <c r="AL95" s="91"/>
    </row>
    <row r="96" spans="2:38" x14ac:dyDescent="0.2">
      <c r="B96" s="89"/>
      <c r="C96" s="90"/>
      <c r="D96" s="90"/>
      <c r="E96" s="90"/>
      <c r="F96" s="90"/>
      <c r="G96" s="90"/>
      <c r="H96" s="90"/>
      <c r="I96" s="90"/>
      <c r="J96" s="90"/>
      <c r="K96" s="90"/>
      <c r="L96" s="91"/>
      <c r="O96" s="89"/>
      <c r="P96" s="90"/>
      <c r="Q96" s="90"/>
      <c r="R96" s="90"/>
      <c r="S96" s="90"/>
      <c r="T96" s="90"/>
      <c r="U96" s="90"/>
      <c r="V96" s="90"/>
      <c r="W96" s="90"/>
      <c r="X96" s="90"/>
      <c r="Y96" s="91"/>
      <c r="AB96" s="89"/>
      <c r="AC96" s="90"/>
      <c r="AD96" s="90"/>
      <c r="AE96" s="90"/>
      <c r="AF96" s="90"/>
      <c r="AG96" s="90"/>
      <c r="AH96" s="90"/>
      <c r="AI96" s="90"/>
      <c r="AJ96" s="90"/>
      <c r="AK96" s="90"/>
      <c r="AL96" s="91"/>
    </row>
    <row r="97" spans="2:38" x14ac:dyDescent="0.2">
      <c r="B97" s="89"/>
      <c r="C97" s="90"/>
      <c r="D97" s="90"/>
      <c r="E97" s="90"/>
      <c r="F97" s="90"/>
      <c r="G97" s="90"/>
      <c r="H97" s="90"/>
      <c r="I97" s="90"/>
      <c r="J97" s="90"/>
      <c r="K97" s="90"/>
      <c r="L97" s="91"/>
      <c r="O97" s="89"/>
      <c r="P97" s="90"/>
      <c r="Q97" s="90"/>
      <c r="R97" s="90"/>
      <c r="S97" s="90"/>
      <c r="T97" s="90"/>
      <c r="U97" s="90"/>
      <c r="V97" s="90"/>
      <c r="W97" s="90"/>
      <c r="X97" s="90"/>
      <c r="Y97" s="91"/>
      <c r="AB97" s="89"/>
      <c r="AC97" s="90"/>
      <c r="AD97" s="90"/>
      <c r="AE97" s="90"/>
      <c r="AF97" s="90"/>
      <c r="AG97" s="90"/>
      <c r="AH97" s="90"/>
      <c r="AI97" s="90"/>
      <c r="AJ97" s="90"/>
      <c r="AK97" s="90"/>
      <c r="AL97" s="91"/>
    </row>
    <row r="98" spans="2:38" x14ac:dyDescent="0.2">
      <c r="B98" s="89"/>
      <c r="C98" s="90"/>
      <c r="D98" s="90"/>
      <c r="E98" s="90"/>
      <c r="F98" s="90"/>
      <c r="G98" s="90"/>
      <c r="H98" s="90"/>
      <c r="I98" s="90"/>
      <c r="J98" s="90"/>
      <c r="K98" s="90"/>
      <c r="L98" s="91"/>
      <c r="O98" s="89"/>
      <c r="P98" s="90"/>
      <c r="Q98" s="90"/>
      <c r="R98" s="90"/>
      <c r="S98" s="90"/>
      <c r="T98" s="90"/>
      <c r="U98" s="90"/>
      <c r="V98" s="90"/>
      <c r="W98" s="90"/>
      <c r="X98" s="90"/>
      <c r="Y98" s="91"/>
      <c r="AB98" s="89"/>
      <c r="AC98" s="90"/>
      <c r="AD98" s="90"/>
      <c r="AE98" s="90"/>
      <c r="AF98" s="90"/>
      <c r="AG98" s="90"/>
      <c r="AH98" s="90"/>
      <c r="AI98" s="90"/>
      <c r="AJ98" s="90"/>
      <c r="AK98" s="90"/>
      <c r="AL98" s="91"/>
    </row>
    <row r="99" spans="2:38" x14ac:dyDescent="0.2">
      <c r="B99" s="89"/>
      <c r="C99" s="90"/>
      <c r="D99" s="90"/>
      <c r="E99" s="90"/>
      <c r="F99" s="90"/>
      <c r="G99" s="90"/>
      <c r="H99" s="90"/>
      <c r="I99" s="90"/>
      <c r="J99" s="90"/>
      <c r="K99" s="90"/>
      <c r="L99" s="91"/>
      <c r="O99" s="89"/>
      <c r="P99" s="90"/>
      <c r="Q99" s="90"/>
      <c r="R99" s="90"/>
      <c r="S99" s="90"/>
      <c r="T99" s="90"/>
      <c r="U99" s="90"/>
      <c r="V99" s="90"/>
      <c r="W99" s="90"/>
      <c r="X99" s="90"/>
      <c r="Y99" s="91"/>
      <c r="AB99" s="89"/>
      <c r="AC99" s="90"/>
      <c r="AD99" s="90"/>
      <c r="AE99" s="90"/>
      <c r="AF99" s="90"/>
      <c r="AG99" s="90"/>
      <c r="AH99" s="90"/>
      <c r="AI99" s="90"/>
      <c r="AJ99" s="90"/>
      <c r="AK99" s="90"/>
      <c r="AL99" s="91"/>
    </row>
    <row r="100" spans="2:38" x14ac:dyDescent="0.2">
      <c r="B100" s="89"/>
      <c r="C100" s="90"/>
      <c r="D100" s="90"/>
      <c r="E100" s="90"/>
      <c r="F100" s="90"/>
      <c r="G100" s="90"/>
      <c r="H100" s="90"/>
      <c r="I100" s="90"/>
      <c r="J100" s="90"/>
      <c r="K100" s="90"/>
      <c r="L100" s="91"/>
      <c r="O100" s="89"/>
      <c r="P100" s="90"/>
      <c r="Q100" s="90"/>
      <c r="R100" s="90"/>
      <c r="S100" s="90"/>
      <c r="T100" s="90"/>
      <c r="U100" s="90"/>
      <c r="V100" s="90"/>
      <c r="W100" s="90"/>
      <c r="X100" s="90"/>
      <c r="Y100" s="91"/>
      <c r="AB100" s="89"/>
      <c r="AC100" s="90"/>
      <c r="AD100" s="90"/>
      <c r="AE100" s="90"/>
      <c r="AF100" s="90"/>
      <c r="AG100" s="90"/>
      <c r="AH100" s="90"/>
      <c r="AI100" s="90"/>
      <c r="AJ100" s="90"/>
      <c r="AK100" s="90"/>
      <c r="AL100" s="91"/>
    </row>
    <row r="101" spans="2:38" x14ac:dyDescent="0.2">
      <c r="B101" s="89"/>
      <c r="C101" s="90"/>
      <c r="D101" s="90"/>
      <c r="E101" s="90"/>
      <c r="F101" s="90"/>
      <c r="G101" s="90"/>
      <c r="H101" s="90"/>
      <c r="I101" s="90"/>
      <c r="J101" s="90"/>
      <c r="K101" s="90"/>
      <c r="L101" s="91"/>
      <c r="O101" s="89"/>
      <c r="P101" s="90"/>
      <c r="Q101" s="90"/>
      <c r="R101" s="90"/>
      <c r="S101" s="90"/>
      <c r="T101" s="90"/>
      <c r="U101" s="90"/>
      <c r="V101" s="90"/>
      <c r="W101" s="90"/>
      <c r="X101" s="90"/>
      <c r="Y101" s="91"/>
      <c r="AB101" s="89"/>
      <c r="AC101" s="90"/>
      <c r="AD101" s="90"/>
      <c r="AE101" s="90"/>
      <c r="AF101" s="90"/>
      <c r="AG101" s="90"/>
      <c r="AH101" s="90"/>
      <c r="AI101" s="90"/>
      <c r="AJ101" s="90"/>
      <c r="AK101" s="90"/>
      <c r="AL101" s="91"/>
    </row>
    <row r="102" spans="2:38" x14ac:dyDescent="0.2">
      <c r="B102" s="89"/>
      <c r="C102" s="90"/>
      <c r="D102" s="90"/>
      <c r="E102" s="90"/>
      <c r="F102" s="90"/>
      <c r="G102" s="90"/>
      <c r="H102" s="90"/>
      <c r="I102" s="90"/>
      <c r="J102" s="90"/>
      <c r="K102" s="90"/>
      <c r="L102" s="91"/>
      <c r="O102" s="89"/>
      <c r="P102" s="90"/>
      <c r="Q102" s="90"/>
      <c r="R102" s="90"/>
      <c r="S102" s="90"/>
      <c r="T102" s="90"/>
      <c r="U102" s="90"/>
      <c r="V102" s="90"/>
      <c r="W102" s="90"/>
      <c r="X102" s="90"/>
      <c r="Y102" s="91"/>
      <c r="AB102" s="89"/>
      <c r="AC102" s="90"/>
      <c r="AD102" s="90"/>
      <c r="AE102" s="90"/>
      <c r="AF102" s="90"/>
      <c r="AG102" s="90"/>
      <c r="AH102" s="90"/>
      <c r="AI102" s="90"/>
      <c r="AJ102" s="90"/>
      <c r="AK102" s="90"/>
      <c r="AL102" s="91"/>
    </row>
    <row r="103" spans="2:38" x14ac:dyDescent="0.2">
      <c r="B103" s="89"/>
      <c r="C103" s="90"/>
      <c r="D103" s="90"/>
      <c r="E103" s="90"/>
      <c r="F103" s="90"/>
      <c r="G103" s="90"/>
      <c r="H103" s="90"/>
      <c r="I103" s="90"/>
      <c r="J103" s="90"/>
      <c r="K103" s="90"/>
      <c r="L103" s="91"/>
      <c r="O103" s="89"/>
      <c r="P103" s="90"/>
      <c r="Q103" s="90"/>
      <c r="R103" s="90"/>
      <c r="S103" s="90"/>
      <c r="T103" s="90"/>
      <c r="U103" s="90"/>
      <c r="V103" s="90"/>
      <c r="W103" s="90"/>
      <c r="X103" s="90"/>
      <c r="Y103" s="91"/>
      <c r="AB103" s="89"/>
      <c r="AC103" s="90"/>
      <c r="AD103" s="90"/>
      <c r="AE103" s="90"/>
      <c r="AF103" s="90"/>
      <c r="AG103" s="90"/>
      <c r="AH103" s="90"/>
      <c r="AI103" s="90"/>
      <c r="AJ103" s="90"/>
      <c r="AK103" s="90"/>
      <c r="AL103" s="91"/>
    </row>
    <row r="104" spans="2:38" x14ac:dyDescent="0.2">
      <c r="B104" s="89"/>
      <c r="C104" s="90"/>
      <c r="D104" s="90"/>
      <c r="E104" s="90"/>
      <c r="F104" s="90"/>
      <c r="G104" s="90"/>
      <c r="H104" s="90"/>
      <c r="I104" s="90"/>
      <c r="J104" s="90"/>
      <c r="K104" s="90"/>
      <c r="L104" s="91"/>
      <c r="O104" s="89"/>
      <c r="P104" s="90"/>
      <c r="Q104" s="90"/>
      <c r="R104" s="90"/>
      <c r="S104" s="90"/>
      <c r="T104" s="90"/>
      <c r="U104" s="90"/>
      <c r="V104" s="90"/>
      <c r="W104" s="90"/>
      <c r="X104" s="90"/>
      <c r="Y104" s="91"/>
      <c r="AB104" s="89"/>
      <c r="AC104" s="90"/>
      <c r="AD104" s="90"/>
      <c r="AE104" s="90"/>
      <c r="AF104" s="90"/>
      <c r="AG104" s="90"/>
      <c r="AH104" s="90"/>
      <c r="AI104" s="90"/>
      <c r="AJ104" s="90"/>
      <c r="AK104" s="90"/>
      <c r="AL104" s="91"/>
    </row>
    <row r="105" spans="2:38" x14ac:dyDescent="0.2">
      <c r="B105" s="89"/>
      <c r="C105" s="90"/>
      <c r="D105" s="90"/>
      <c r="E105" s="90"/>
      <c r="F105" s="90"/>
      <c r="G105" s="90"/>
      <c r="H105" s="90"/>
      <c r="I105" s="90"/>
      <c r="J105" s="90"/>
      <c r="K105" s="90"/>
      <c r="L105" s="91"/>
      <c r="O105" s="89"/>
      <c r="P105" s="90"/>
      <c r="Q105" s="90"/>
      <c r="R105" s="90"/>
      <c r="S105" s="90"/>
      <c r="T105" s="90"/>
      <c r="U105" s="90"/>
      <c r="V105" s="90"/>
      <c r="W105" s="90"/>
      <c r="X105" s="90"/>
      <c r="Y105" s="91"/>
      <c r="AB105" s="89"/>
      <c r="AC105" s="90"/>
      <c r="AD105" s="90"/>
      <c r="AE105" s="90"/>
      <c r="AF105" s="90"/>
      <c r="AG105" s="90"/>
      <c r="AH105" s="90"/>
      <c r="AI105" s="90"/>
      <c r="AJ105" s="90"/>
      <c r="AK105" s="90"/>
      <c r="AL105" s="91"/>
    </row>
    <row r="106" spans="2:38" ht="13.5" thickBot="1" x14ac:dyDescent="0.25">
      <c r="B106" s="98"/>
      <c r="C106" s="99"/>
      <c r="D106" s="99"/>
      <c r="E106" s="99"/>
      <c r="F106" s="99"/>
      <c r="G106" s="99"/>
      <c r="H106" s="99"/>
      <c r="I106" s="99"/>
      <c r="J106" s="99"/>
      <c r="K106" s="99"/>
      <c r="L106" s="100"/>
      <c r="O106" s="98"/>
      <c r="P106" s="99"/>
      <c r="Q106" s="99"/>
      <c r="R106" s="99"/>
      <c r="S106" s="99"/>
      <c r="T106" s="99"/>
      <c r="U106" s="99"/>
      <c r="V106" s="99"/>
      <c r="W106" s="99"/>
      <c r="X106" s="99"/>
      <c r="Y106" s="100"/>
      <c r="AB106" s="98"/>
      <c r="AC106" s="99"/>
      <c r="AD106" s="99"/>
      <c r="AE106" s="99"/>
      <c r="AF106" s="99"/>
      <c r="AG106" s="99"/>
      <c r="AH106" s="99"/>
      <c r="AI106" s="99"/>
      <c r="AJ106" s="99"/>
      <c r="AK106" s="99"/>
      <c r="AL106" s="100"/>
    </row>
    <row r="107" spans="2:38" x14ac:dyDescent="0.2">
      <c r="O107" s="87"/>
      <c r="P107" s="90"/>
      <c r="Q107" s="108"/>
      <c r="R107" s="108"/>
      <c r="S107" s="108"/>
      <c r="T107" s="108"/>
      <c r="U107" s="108"/>
      <c r="V107" s="108"/>
      <c r="W107" s="108"/>
      <c r="X107" s="108"/>
      <c r="Y107" s="108"/>
      <c r="Z107" s="108"/>
    </row>
    <row r="108" spans="2:38" x14ac:dyDescent="0.2">
      <c r="N108" s="90"/>
      <c r="O108" s="90"/>
      <c r="P108" s="90"/>
      <c r="Q108" s="108"/>
      <c r="R108" s="108"/>
      <c r="S108" s="108"/>
      <c r="T108" s="108"/>
      <c r="U108" s="108"/>
      <c r="V108" s="108"/>
      <c r="W108" s="108"/>
      <c r="X108" s="108"/>
      <c r="Y108" s="108"/>
      <c r="Z108" s="108"/>
      <c r="AA108" s="108"/>
    </row>
    <row r="109" spans="2:38" x14ac:dyDescent="0.2">
      <c r="N109" s="90"/>
      <c r="O109" s="90"/>
      <c r="P109" s="90"/>
      <c r="Q109" s="108"/>
      <c r="R109" s="108"/>
      <c r="S109" s="108"/>
      <c r="T109" s="108"/>
      <c r="U109" s="108"/>
      <c r="V109" s="108"/>
      <c r="W109" s="108"/>
      <c r="X109" s="108"/>
      <c r="Y109" s="108"/>
      <c r="Z109" s="108"/>
      <c r="AA109" s="108"/>
    </row>
    <row r="110" spans="2:38" x14ac:dyDescent="0.2">
      <c r="N110" s="90"/>
      <c r="O110" s="90"/>
      <c r="P110" s="90"/>
      <c r="Q110" s="108"/>
      <c r="R110" s="108"/>
      <c r="S110" s="108"/>
      <c r="T110" s="108"/>
      <c r="U110" s="108"/>
      <c r="V110" s="108"/>
      <c r="W110" s="108"/>
      <c r="X110" s="108"/>
      <c r="Y110" s="108"/>
      <c r="Z110" s="108"/>
      <c r="AA110" s="108"/>
    </row>
    <row r="111" spans="2:38" x14ac:dyDescent="0.2">
      <c r="N111" s="90"/>
      <c r="O111" s="90"/>
      <c r="P111" s="90"/>
      <c r="Q111" s="108"/>
      <c r="R111" s="108"/>
      <c r="S111" s="108"/>
      <c r="T111" s="108"/>
      <c r="U111" s="108"/>
      <c r="V111" s="108"/>
      <c r="W111" s="108"/>
      <c r="X111" s="108"/>
      <c r="Y111" s="108"/>
      <c r="Z111" s="108"/>
      <c r="AA111" s="108"/>
    </row>
    <row r="112" spans="2:38" x14ac:dyDescent="0.2">
      <c r="N112" s="90"/>
      <c r="O112" s="90"/>
      <c r="P112" s="90"/>
      <c r="Q112" s="108"/>
      <c r="R112" s="108"/>
      <c r="S112" s="108"/>
      <c r="T112" s="108"/>
      <c r="U112" s="108"/>
      <c r="V112" s="108"/>
      <c r="W112" s="108"/>
      <c r="X112" s="108"/>
      <c r="Y112" s="108"/>
      <c r="Z112" s="108"/>
      <c r="AA112" s="108"/>
    </row>
    <row r="113" spans="14:27" x14ac:dyDescent="0.2">
      <c r="N113" s="90"/>
      <c r="O113" s="90"/>
      <c r="P113" s="90"/>
      <c r="Q113" s="108"/>
      <c r="R113" s="108"/>
      <c r="S113" s="108"/>
      <c r="T113" s="108"/>
      <c r="U113" s="108"/>
      <c r="V113" s="108"/>
      <c r="W113" s="108"/>
      <c r="X113" s="108"/>
      <c r="Y113" s="108"/>
      <c r="Z113" s="108"/>
      <c r="AA113" s="108"/>
    </row>
    <row r="114" spans="14:27" x14ac:dyDescent="0.2">
      <c r="N114" s="90"/>
      <c r="O114" s="90"/>
      <c r="P114" s="90"/>
      <c r="Q114" s="108"/>
      <c r="R114" s="108"/>
      <c r="S114" s="108"/>
      <c r="T114" s="108"/>
      <c r="U114" s="108"/>
      <c r="V114" s="108"/>
      <c r="W114" s="108"/>
      <c r="X114" s="108"/>
      <c r="Y114" s="108"/>
      <c r="Z114" s="108"/>
      <c r="AA114" s="108"/>
    </row>
    <row r="115" spans="14:27" x14ac:dyDescent="0.2">
      <c r="N115" s="90"/>
      <c r="O115" s="90"/>
      <c r="P115" s="90"/>
      <c r="Q115" s="108"/>
      <c r="R115" s="108"/>
      <c r="S115" s="108"/>
      <c r="T115" s="108"/>
      <c r="U115" s="108"/>
      <c r="V115" s="108"/>
      <c r="W115" s="108"/>
      <c r="X115" s="108"/>
      <c r="Y115" s="108"/>
      <c r="Z115" s="108"/>
      <c r="AA115" s="108"/>
    </row>
    <row r="116" spans="14:27" x14ac:dyDescent="0.2">
      <c r="N116" s="90"/>
      <c r="O116" s="90"/>
      <c r="P116" s="90"/>
      <c r="Q116" s="108"/>
      <c r="R116" s="108"/>
      <c r="S116" s="108"/>
      <c r="T116" s="108"/>
      <c r="U116" s="108"/>
      <c r="V116" s="108"/>
      <c r="W116" s="108"/>
      <c r="X116" s="108"/>
      <c r="Y116" s="108"/>
      <c r="Z116" s="108"/>
      <c r="AA116" s="108"/>
    </row>
    <row r="117" spans="14:27" x14ac:dyDescent="0.2">
      <c r="N117" s="90"/>
      <c r="O117" s="90"/>
      <c r="P117" s="90"/>
      <c r="Q117" s="108"/>
      <c r="R117" s="108"/>
      <c r="S117" s="108"/>
      <c r="T117" s="108"/>
      <c r="U117" s="108"/>
      <c r="V117" s="108"/>
      <c r="W117" s="108"/>
      <c r="X117" s="108"/>
      <c r="Y117" s="108"/>
      <c r="Z117" s="108"/>
      <c r="AA117" s="108"/>
    </row>
    <row r="118" spans="14:27" x14ac:dyDescent="0.2">
      <c r="N118" s="90"/>
      <c r="O118" s="90"/>
      <c r="P118" s="90"/>
      <c r="Q118" s="108"/>
      <c r="R118" s="108"/>
      <c r="S118" s="108"/>
      <c r="T118" s="108"/>
      <c r="U118" s="108"/>
      <c r="V118" s="108"/>
      <c r="W118" s="108"/>
      <c r="X118" s="108"/>
      <c r="Y118" s="108"/>
      <c r="Z118" s="108"/>
      <c r="AA118" s="108"/>
    </row>
    <row r="119" spans="14:27" x14ac:dyDescent="0.2">
      <c r="N119" s="90"/>
      <c r="O119" s="90"/>
      <c r="P119" s="90"/>
      <c r="Q119" s="108"/>
      <c r="R119" s="108"/>
      <c r="S119" s="108"/>
      <c r="T119" s="108"/>
      <c r="U119" s="108"/>
      <c r="V119" s="108"/>
      <c r="W119" s="108"/>
      <c r="X119" s="108"/>
      <c r="Y119" s="108"/>
      <c r="Z119" s="108"/>
      <c r="AA119" s="108"/>
    </row>
    <row r="120" spans="14:27" x14ac:dyDescent="0.2">
      <c r="N120" s="90"/>
      <c r="O120" s="90"/>
      <c r="P120" s="90"/>
      <c r="Q120" s="108"/>
      <c r="R120" s="108"/>
      <c r="S120" s="108"/>
      <c r="T120" s="108"/>
      <c r="U120" s="108"/>
      <c r="V120" s="108"/>
      <c r="W120" s="108"/>
      <c r="X120" s="108"/>
      <c r="Y120" s="108"/>
      <c r="Z120" s="108"/>
      <c r="AA120" s="108"/>
    </row>
    <row r="121" spans="14:27" x14ac:dyDescent="0.2">
      <c r="N121" s="90"/>
      <c r="O121" s="90"/>
      <c r="P121" s="90"/>
      <c r="Q121" s="108"/>
      <c r="R121" s="108"/>
      <c r="S121" s="108"/>
      <c r="T121" s="108"/>
      <c r="U121" s="108"/>
      <c r="V121" s="108"/>
      <c r="W121" s="108"/>
      <c r="X121" s="108"/>
      <c r="Y121" s="108"/>
      <c r="Z121" s="108"/>
      <c r="AA121" s="108"/>
    </row>
    <row r="122" spans="14:27" x14ac:dyDescent="0.2">
      <c r="N122" s="90"/>
      <c r="O122" s="90"/>
      <c r="P122" s="90"/>
      <c r="Q122" s="108"/>
      <c r="R122" s="108"/>
      <c r="S122" s="108"/>
      <c r="T122" s="108"/>
      <c r="U122" s="108"/>
      <c r="V122" s="108"/>
      <c r="W122" s="108"/>
      <c r="X122" s="108"/>
      <c r="Y122" s="108"/>
      <c r="Z122" s="108"/>
      <c r="AA122" s="108"/>
    </row>
    <row r="123" spans="14:27" x14ac:dyDescent="0.2">
      <c r="N123" s="90"/>
      <c r="O123" s="90"/>
      <c r="P123" s="90"/>
      <c r="Q123" s="108"/>
      <c r="R123" s="108"/>
      <c r="S123" s="108"/>
      <c r="T123" s="108"/>
      <c r="U123" s="108"/>
      <c r="V123" s="108"/>
      <c r="W123" s="108"/>
      <c r="X123" s="108"/>
      <c r="Y123" s="108"/>
      <c r="Z123" s="108"/>
      <c r="AA123" s="108"/>
    </row>
    <row r="124" spans="14:27" x14ac:dyDescent="0.2">
      <c r="N124" s="90"/>
      <c r="O124" s="90"/>
      <c r="P124" s="90"/>
      <c r="Q124" s="108"/>
      <c r="R124" s="108"/>
      <c r="S124" s="108"/>
      <c r="T124" s="108"/>
      <c r="U124" s="108"/>
      <c r="V124" s="108"/>
      <c r="W124" s="108"/>
      <c r="X124" s="108"/>
      <c r="Y124" s="108"/>
      <c r="Z124" s="108"/>
      <c r="AA124" s="108"/>
    </row>
    <row r="125" spans="14:27" x14ac:dyDescent="0.2">
      <c r="N125" s="90"/>
      <c r="O125" s="90"/>
      <c r="P125" s="90"/>
      <c r="Q125" s="108"/>
      <c r="R125" s="108"/>
      <c r="S125" s="108"/>
      <c r="T125" s="108"/>
      <c r="U125" s="108"/>
      <c r="V125" s="108"/>
      <c r="W125" s="108"/>
      <c r="X125" s="108"/>
      <c r="Y125" s="108"/>
      <c r="Z125" s="108"/>
      <c r="AA125" s="108"/>
    </row>
    <row r="126" spans="14:27" x14ac:dyDescent="0.2">
      <c r="N126" s="90"/>
      <c r="O126" s="90"/>
      <c r="P126" s="90"/>
      <c r="Q126" s="108"/>
      <c r="R126" s="108"/>
      <c r="S126" s="108"/>
      <c r="T126" s="108"/>
      <c r="U126" s="108"/>
      <c r="V126" s="108"/>
      <c r="W126" s="108"/>
      <c r="X126" s="108"/>
      <c r="Y126" s="108"/>
      <c r="Z126" s="108"/>
      <c r="AA126" s="108"/>
    </row>
    <row r="127" spans="14:27" x14ac:dyDescent="0.2">
      <c r="N127" s="90"/>
      <c r="O127" s="90"/>
      <c r="P127" s="90"/>
      <c r="Q127" s="108"/>
      <c r="R127" s="108"/>
      <c r="S127" s="108"/>
      <c r="T127" s="108"/>
      <c r="U127" s="108"/>
      <c r="V127" s="108"/>
      <c r="W127" s="108"/>
      <c r="X127" s="108"/>
      <c r="Y127" s="108"/>
      <c r="Z127" s="108"/>
      <c r="AA127" s="108"/>
    </row>
    <row r="128" spans="14:27" x14ac:dyDescent="0.2">
      <c r="N128" s="90"/>
      <c r="O128" s="90"/>
      <c r="P128" s="90"/>
      <c r="Q128" s="108"/>
      <c r="R128" s="108"/>
      <c r="S128" s="108"/>
      <c r="T128" s="108"/>
      <c r="U128" s="108"/>
      <c r="V128" s="108"/>
      <c r="W128" s="108"/>
      <c r="X128" s="108"/>
      <c r="Y128" s="108"/>
      <c r="Z128" s="108"/>
      <c r="AA128" s="108"/>
    </row>
    <row r="129" spans="14:27" x14ac:dyDescent="0.2">
      <c r="N129" s="90"/>
      <c r="O129" s="90"/>
      <c r="P129" s="90"/>
      <c r="Q129" s="108"/>
      <c r="R129" s="108"/>
      <c r="S129" s="108"/>
      <c r="T129" s="108"/>
      <c r="U129" s="108"/>
      <c r="V129" s="108"/>
      <c r="W129" s="108"/>
      <c r="X129" s="108"/>
      <c r="Y129" s="108"/>
      <c r="Z129" s="108"/>
      <c r="AA129" s="108"/>
    </row>
    <row r="130" spans="14:27" x14ac:dyDescent="0.2">
      <c r="N130" s="90"/>
      <c r="O130" s="90"/>
      <c r="P130" s="90"/>
      <c r="Q130" s="108"/>
      <c r="R130" s="108"/>
      <c r="S130" s="108"/>
      <c r="T130" s="108"/>
      <c r="U130" s="108"/>
      <c r="V130" s="108"/>
      <c r="W130" s="108"/>
      <c r="X130" s="108"/>
      <c r="Y130" s="108"/>
      <c r="Z130" s="108"/>
      <c r="AA130" s="108"/>
    </row>
    <row r="131" spans="14:27" x14ac:dyDescent="0.2">
      <c r="N131" s="90"/>
      <c r="O131" s="90"/>
      <c r="P131" s="90"/>
      <c r="Q131" s="108"/>
      <c r="R131" s="108"/>
      <c r="S131" s="108"/>
      <c r="T131" s="108"/>
      <c r="U131" s="108"/>
      <c r="V131" s="108"/>
      <c r="W131" s="108"/>
      <c r="X131" s="108"/>
      <c r="Y131" s="108"/>
      <c r="Z131" s="108"/>
      <c r="AA131" s="108"/>
    </row>
    <row r="132" spans="14:27" x14ac:dyDescent="0.2">
      <c r="N132" s="90"/>
      <c r="O132" s="90"/>
      <c r="P132" s="90"/>
      <c r="Q132" s="108"/>
      <c r="R132" s="108"/>
      <c r="S132" s="108"/>
      <c r="T132" s="108"/>
      <c r="U132" s="108"/>
      <c r="V132" s="108"/>
      <c r="W132" s="108"/>
      <c r="X132" s="108"/>
      <c r="Y132" s="108"/>
      <c r="Z132" s="108"/>
      <c r="AA132" s="108"/>
    </row>
    <row r="133" spans="14:27" x14ac:dyDescent="0.2">
      <c r="N133" s="90"/>
      <c r="O133" s="90"/>
      <c r="P133" s="90"/>
      <c r="Q133" s="108"/>
      <c r="R133" s="108"/>
      <c r="S133" s="108"/>
      <c r="T133" s="108"/>
      <c r="U133" s="108"/>
      <c r="V133" s="108"/>
      <c r="W133" s="108"/>
      <c r="X133" s="108"/>
      <c r="Y133" s="108"/>
      <c r="Z133" s="108"/>
      <c r="AA133" s="108"/>
    </row>
    <row r="134" spans="14:27" x14ac:dyDescent="0.2">
      <c r="N134" s="90"/>
      <c r="O134" s="90"/>
      <c r="P134" s="90"/>
      <c r="Q134" s="108"/>
      <c r="R134" s="108"/>
      <c r="S134" s="108"/>
      <c r="T134" s="108"/>
      <c r="U134" s="108"/>
      <c r="V134" s="108"/>
      <c r="W134" s="108"/>
      <c r="X134" s="108"/>
      <c r="Y134" s="108"/>
      <c r="Z134" s="108"/>
      <c r="AA134" s="108"/>
    </row>
    <row r="135" spans="14:27" x14ac:dyDescent="0.2">
      <c r="N135" s="90"/>
      <c r="O135" s="90"/>
      <c r="P135" s="90"/>
      <c r="Q135" s="108"/>
      <c r="R135" s="108"/>
      <c r="S135" s="108"/>
      <c r="T135" s="108"/>
      <c r="U135" s="108"/>
      <c r="V135" s="108"/>
      <c r="W135" s="108"/>
      <c r="X135" s="108"/>
      <c r="Y135" s="108"/>
      <c r="Z135" s="108"/>
      <c r="AA135" s="108"/>
    </row>
    <row r="136" spans="14:27" x14ac:dyDescent="0.2">
      <c r="N136" s="90"/>
      <c r="O136" s="90"/>
      <c r="P136" s="90"/>
      <c r="Q136" s="108"/>
      <c r="R136" s="108"/>
      <c r="S136" s="108"/>
      <c r="T136" s="108"/>
      <c r="U136" s="108"/>
      <c r="V136" s="108"/>
      <c r="W136" s="108"/>
      <c r="X136" s="108"/>
      <c r="Y136" s="108"/>
      <c r="Z136" s="108"/>
      <c r="AA136" s="108"/>
    </row>
    <row r="137" spans="14:27" x14ac:dyDescent="0.2">
      <c r="N137" s="90"/>
      <c r="O137" s="90"/>
      <c r="P137" s="90"/>
      <c r="Q137" s="108"/>
      <c r="R137" s="108"/>
      <c r="S137" s="108"/>
      <c r="T137" s="108"/>
      <c r="U137" s="108"/>
      <c r="V137" s="108"/>
      <c r="W137" s="108"/>
      <c r="X137" s="108"/>
      <c r="Y137" s="108"/>
      <c r="Z137" s="108"/>
      <c r="AA137" s="108"/>
    </row>
    <row r="138" spans="14:27" x14ac:dyDescent="0.2">
      <c r="N138" s="90"/>
      <c r="O138" s="90"/>
      <c r="P138" s="90"/>
      <c r="Q138" s="108"/>
      <c r="R138" s="108"/>
      <c r="S138" s="108"/>
      <c r="T138" s="108"/>
      <c r="U138" s="108"/>
      <c r="V138" s="108"/>
      <c r="W138" s="108"/>
      <c r="X138" s="108"/>
      <c r="Y138" s="108"/>
      <c r="Z138" s="108"/>
      <c r="AA138" s="108"/>
    </row>
    <row r="139" spans="14:27" x14ac:dyDescent="0.2">
      <c r="N139" s="90"/>
      <c r="O139" s="90"/>
      <c r="P139" s="90"/>
      <c r="Q139" s="108"/>
      <c r="R139" s="108"/>
      <c r="S139" s="108"/>
      <c r="T139" s="108"/>
      <c r="U139" s="108"/>
      <c r="V139" s="108"/>
      <c r="W139" s="108"/>
      <c r="X139" s="108"/>
      <c r="Y139" s="108"/>
      <c r="Z139" s="108"/>
      <c r="AA139" s="108"/>
    </row>
    <row r="140" spans="14:27" x14ac:dyDescent="0.2">
      <c r="N140" s="90"/>
      <c r="O140" s="90"/>
      <c r="P140" s="90"/>
      <c r="Q140" s="108"/>
      <c r="R140" s="108"/>
      <c r="S140" s="108"/>
      <c r="T140" s="108"/>
      <c r="U140" s="108"/>
      <c r="V140" s="108"/>
      <c r="W140" s="108"/>
      <c r="X140" s="108"/>
      <c r="Y140" s="108"/>
      <c r="Z140" s="108"/>
      <c r="AA140" s="108"/>
    </row>
    <row r="141" spans="14:27" x14ac:dyDescent="0.2">
      <c r="N141" s="90"/>
      <c r="O141" s="90"/>
      <c r="P141" s="90"/>
      <c r="Q141" s="108"/>
      <c r="R141" s="108"/>
      <c r="S141" s="108"/>
      <c r="T141" s="108"/>
      <c r="U141" s="108"/>
      <c r="V141" s="108"/>
      <c r="W141" s="108"/>
      <c r="X141" s="108"/>
      <c r="Y141" s="108"/>
      <c r="Z141" s="108"/>
      <c r="AA141" s="108"/>
    </row>
    <row r="142" spans="14:27" x14ac:dyDescent="0.2">
      <c r="N142" s="90"/>
      <c r="O142" s="90"/>
      <c r="P142" s="90"/>
      <c r="Q142" s="108"/>
      <c r="R142" s="108"/>
      <c r="S142" s="108"/>
      <c r="T142" s="108"/>
      <c r="U142" s="108"/>
      <c r="V142" s="108"/>
      <c r="W142" s="108"/>
      <c r="X142" s="108"/>
      <c r="Y142" s="108"/>
      <c r="Z142" s="108"/>
      <c r="AA142" s="108"/>
    </row>
    <row r="143" spans="14:27" x14ac:dyDescent="0.2">
      <c r="N143" s="90"/>
      <c r="O143" s="90"/>
      <c r="P143" s="90"/>
      <c r="Q143" s="108"/>
      <c r="R143" s="108"/>
      <c r="S143" s="108"/>
      <c r="T143" s="108"/>
      <c r="U143" s="108"/>
      <c r="V143" s="108"/>
      <c r="W143" s="108"/>
      <c r="X143" s="108"/>
      <c r="Y143" s="108"/>
      <c r="Z143" s="108"/>
      <c r="AA143" s="108"/>
    </row>
    <row r="144" spans="14:27" x14ac:dyDescent="0.2">
      <c r="N144" s="90"/>
      <c r="O144" s="90"/>
      <c r="P144" s="90"/>
      <c r="Q144" s="108"/>
      <c r="R144" s="108"/>
      <c r="S144" s="108"/>
      <c r="T144" s="108"/>
      <c r="U144" s="108"/>
      <c r="V144" s="108"/>
      <c r="W144" s="108"/>
      <c r="X144" s="108"/>
      <c r="Y144" s="108"/>
      <c r="Z144" s="108"/>
      <c r="AA144" s="108"/>
    </row>
    <row r="145" spans="14:27" x14ac:dyDescent="0.2">
      <c r="N145" s="90"/>
      <c r="O145" s="90"/>
      <c r="P145" s="90"/>
      <c r="Q145" s="108"/>
      <c r="R145" s="108"/>
      <c r="S145" s="108"/>
      <c r="T145" s="108"/>
      <c r="U145" s="108"/>
      <c r="V145" s="108"/>
      <c r="W145" s="108"/>
      <c r="X145" s="108"/>
      <c r="Y145" s="108"/>
      <c r="Z145" s="108"/>
      <c r="AA145" s="108"/>
    </row>
    <row r="146" spans="14:27" x14ac:dyDescent="0.2">
      <c r="N146" s="90"/>
      <c r="O146" s="90"/>
      <c r="P146" s="90"/>
      <c r="Q146" s="108"/>
      <c r="R146" s="108"/>
      <c r="S146" s="108"/>
      <c r="T146" s="108"/>
      <c r="U146" s="108"/>
      <c r="V146" s="108"/>
      <c r="W146" s="108"/>
      <c r="X146" s="108"/>
      <c r="Y146" s="108"/>
      <c r="Z146" s="108"/>
      <c r="AA146" s="108"/>
    </row>
    <row r="147" spans="14:27" x14ac:dyDescent="0.2">
      <c r="N147" s="90"/>
      <c r="O147" s="90"/>
      <c r="P147" s="90"/>
      <c r="Q147" s="108"/>
      <c r="R147" s="108"/>
      <c r="S147" s="108"/>
      <c r="T147" s="108"/>
      <c r="U147" s="108"/>
      <c r="V147" s="108"/>
      <c r="W147" s="108"/>
      <c r="X147" s="108"/>
      <c r="Y147" s="108"/>
      <c r="Z147" s="108"/>
      <c r="AA147" s="108"/>
    </row>
    <row r="148" spans="14:27" x14ac:dyDescent="0.2">
      <c r="N148" s="90"/>
      <c r="O148" s="90"/>
      <c r="P148" s="90"/>
      <c r="Q148" s="108"/>
      <c r="R148" s="108"/>
      <c r="S148" s="108"/>
      <c r="T148" s="108"/>
      <c r="U148" s="108"/>
      <c r="V148" s="108"/>
      <c r="W148" s="108"/>
      <c r="X148" s="108"/>
      <c r="Y148" s="108"/>
      <c r="Z148" s="108"/>
      <c r="AA148" s="108"/>
    </row>
    <row r="149" spans="14:27" x14ac:dyDescent="0.2">
      <c r="N149" s="90"/>
      <c r="O149" s="90"/>
      <c r="P149" s="90"/>
      <c r="Q149" s="108"/>
      <c r="R149" s="108"/>
      <c r="S149" s="108"/>
      <c r="T149" s="108"/>
      <c r="U149" s="108"/>
      <c r="V149" s="108"/>
      <c r="W149" s="108"/>
      <c r="X149" s="108"/>
      <c r="Y149" s="108"/>
      <c r="Z149" s="108"/>
      <c r="AA149" s="108"/>
    </row>
    <row r="150" spans="14:27" x14ac:dyDescent="0.2">
      <c r="N150" s="90"/>
      <c r="O150" s="90"/>
      <c r="P150" s="90"/>
      <c r="Q150" s="108"/>
      <c r="R150" s="108"/>
      <c r="S150" s="108"/>
      <c r="T150" s="108"/>
      <c r="U150" s="108"/>
      <c r="V150" s="108"/>
      <c r="W150" s="108"/>
      <c r="X150" s="108"/>
      <c r="Y150" s="108"/>
      <c r="Z150" s="108"/>
      <c r="AA150" s="108"/>
    </row>
    <row r="151" spans="14:27" x14ac:dyDescent="0.2">
      <c r="N151" s="90"/>
      <c r="O151" s="90"/>
      <c r="P151" s="90"/>
      <c r="Q151" s="108"/>
      <c r="R151" s="108"/>
      <c r="S151" s="108"/>
      <c r="T151" s="108"/>
      <c r="U151" s="108"/>
      <c r="V151" s="108"/>
      <c r="W151" s="108"/>
      <c r="X151" s="108"/>
      <c r="Y151" s="108"/>
      <c r="Z151" s="108"/>
      <c r="AA151" s="108"/>
    </row>
    <row r="152" spans="14:27" x14ac:dyDescent="0.2">
      <c r="N152" s="90"/>
      <c r="O152" s="90"/>
      <c r="P152" s="90"/>
      <c r="Q152" s="108"/>
      <c r="R152" s="108"/>
      <c r="S152" s="108"/>
      <c r="T152" s="108"/>
      <c r="U152" s="108"/>
      <c r="V152" s="108"/>
      <c r="W152" s="108"/>
      <c r="X152" s="108"/>
      <c r="Y152" s="108"/>
      <c r="Z152" s="108"/>
      <c r="AA152" s="108"/>
    </row>
    <row r="153" spans="14:27" x14ac:dyDescent="0.2">
      <c r="N153" s="90"/>
      <c r="O153" s="90"/>
      <c r="P153" s="90"/>
      <c r="Q153" s="108"/>
      <c r="R153" s="108"/>
      <c r="S153" s="108"/>
      <c r="T153" s="108"/>
      <c r="U153" s="108"/>
      <c r="V153" s="108"/>
      <c r="W153" s="108"/>
      <c r="X153" s="108"/>
      <c r="Y153" s="108"/>
      <c r="Z153" s="108"/>
      <c r="AA153" s="108"/>
    </row>
    <row r="154" spans="14:27" x14ac:dyDescent="0.2">
      <c r="N154" s="90"/>
      <c r="O154" s="90"/>
      <c r="P154" s="90"/>
      <c r="Q154" s="108"/>
      <c r="R154" s="108"/>
    </row>
    <row r="155" spans="14:27" x14ac:dyDescent="0.2">
      <c r="N155" s="90"/>
      <c r="O155" s="90"/>
      <c r="P155" s="90"/>
      <c r="Q155" s="108"/>
      <c r="R155" s="108"/>
    </row>
    <row r="156" spans="14:27" x14ac:dyDescent="0.2">
      <c r="N156" s="90"/>
      <c r="O156" s="90"/>
      <c r="P156" s="90"/>
      <c r="Q156" s="108"/>
      <c r="R156" s="108"/>
    </row>
    <row r="157" spans="14:27" x14ac:dyDescent="0.2">
      <c r="N157" s="90"/>
      <c r="O157" s="90"/>
      <c r="P157" s="90"/>
      <c r="Q157" s="108"/>
      <c r="R157" s="108"/>
    </row>
    <row r="158" spans="14:27" x14ac:dyDescent="0.2">
      <c r="N158" s="90"/>
      <c r="O158" s="90"/>
      <c r="P158" s="90"/>
      <c r="Q158" s="108"/>
      <c r="R158" s="108"/>
    </row>
    <row r="159" spans="14:27" x14ac:dyDescent="0.2">
      <c r="N159" s="90"/>
      <c r="O159" s="90"/>
      <c r="P159" s="90"/>
      <c r="Q159" s="108"/>
      <c r="R159" s="108"/>
    </row>
    <row r="160" spans="14:27" x14ac:dyDescent="0.2">
      <c r="N160" s="90"/>
      <c r="O160" s="90"/>
      <c r="P160" s="90"/>
      <c r="Q160" s="108"/>
      <c r="R160" s="108"/>
    </row>
    <row r="161" spans="14:18" x14ac:dyDescent="0.2">
      <c r="N161" s="90"/>
      <c r="O161" s="90"/>
      <c r="P161" s="90"/>
      <c r="Q161" s="108"/>
      <c r="R161" s="108"/>
    </row>
    <row r="162" spans="14:18" x14ac:dyDescent="0.2">
      <c r="N162" s="90"/>
      <c r="O162" s="90"/>
      <c r="P162" s="90"/>
      <c r="Q162" s="108"/>
      <c r="R162" s="108"/>
    </row>
    <row r="163" spans="14:18" x14ac:dyDescent="0.2">
      <c r="N163" s="90"/>
      <c r="O163" s="90"/>
      <c r="P163" s="90"/>
      <c r="Q163" s="108"/>
      <c r="R163" s="108"/>
    </row>
    <row r="164" spans="14:18" x14ac:dyDescent="0.2">
      <c r="N164" s="90"/>
      <c r="O164" s="90"/>
      <c r="P164" s="90"/>
      <c r="Q164" s="108"/>
      <c r="R164" s="108"/>
    </row>
    <row r="165" spans="14:18" x14ac:dyDescent="0.2">
      <c r="N165" s="90"/>
      <c r="O165" s="90"/>
      <c r="P165" s="90"/>
      <c r="Q165" s="108"/>
      <c r="R165" s="108"/>
    </row>
    <row r="166" spans="14:18" x14ac:dyDescent="0.2">
      <c r="N166" s="90"/>
      <c r="O166" s="90"/>
      <c r="P166" s="90"/>
      <c r="Q166" s="108"/>
      <c r="R166" s="108"/>
    </row>
    <row r="167" spans="14:18" x14ac:dyDescent="0.2">
      <c r="N167" s="90"/>
      <c r="O167" s="90"/>
      <c r="P167" s="90"/>
      <c r="Q167" s="108"/>
      <c r="R167" s="108"/>
    </row>
    <row r="168" spans="14:18" x14ac:dyDescent="0.2">
      <c r="N168" s="90"/>
      <c r="O168" s="90"/>
      <c r="P168" s="90"/>
      <c r="Q168" s="108"/>
      <c r="R168" s="108"/>
    </row>
    <row r="169" spans="14:18" x14ac:dyDescent="0.2">
      <c r="N169" s="90"/>
      <c r="O169" s="90"/>
      <c r="P169" s="90"/>
      <c r="Q169" s="108"/>
      <c r="R169" s="108"/>
    </row>
    <row r="170" spans="14:18" x14ac:dyDescent="0.2">
      <c r="N170" s="90"/>
      <c r="O170" s="90"/>
      <c r="P170" s="90"/>
      <c r="Q170" s="108"/>
      <c r="R170" s="108"/>
    </row>
    <row r="171" spans="14:18" x14ac:dyDescent="0.2">
      <c r="N171" s="90"/>
      <c r="O171" s="90"/>
      <c r="P171" s="90"/>
      <c r="Q171" s="108"/>
      <c r="R171" s="108"/>
    </row>
    <row r="172" spans="14:18" x14ac:dyDescent="0.2">
      <c r="N172" s="90"/>
      <c r="O172" s="90"/>
      <c r="P172" s="90"/>
      <c r="Q172" s="108"/>
      <c r="R172" s="108"/>
    </row>
    <row r="173" spans="14:18" x14ac:dyDescent="0.2">
      <c r="N173" s="90"/>
      <c r="O173" s="90"/>
      <c r="P173" s="90"/>
      <c r="Q173" s="108"/>
      <c r="R173" s="108"/>
    </row>
    <row r="174" spans="14:18" x14ac:dyDescent="0.2">
      <c r="N174" s="90"/>
      <c r="O174" s="90"/>
      <c r="P174" s="90"/>
      <c r="Q174" s="108"/>
      <c r="R174" s="108"/>
    </row>
    <row r="175" spans="14:18" x14ac:dyDescent="0.2">
      <c r="N175" s="90"/>
      <c r="O175" s="90"/>
      <c r="P175" s="90"/>
      <c r="Q175" s="108"/>
      <c r="R175" s="108"/>
    </row>
    <row r="176" spans="14:18" x14ac:dyDescent="0.2">
      <c r="N176" s="90"/>
      <c r="O176" s="90"/>
      <c r="P176" s="90"/>
      <c r="Q176" s="108"/>
      <c r="R176" s="108"/>
    </row>
    <row r="177" spans="14:18" x14ac:dyDescent="0.2">
      <c r="N177" s="90"/>
      <c r="O177" s="90"/>
      <c r="P177" s="90"/>
      <c r="Q177" s="108"/>
      <c r="R177" s="108"/>
    </row>
    <row r="178" spans="14:18" x14ac:dyDescent="0.2">
      <c r="N178" s="90"/>
      <c r="O178" s="90"/>
      <c r="P178" s="90"/>
      <c r="Q178" s="108"/>
      <c r="R178" s="108"/>
    </row>
    <row r="179" spans="14:18" x14ac:dyDescent="0.2">
      <c r="N179" s="90"/>
      <c r="O179" s="90"/>
      <c r="P179" s="90"/>
      <c r="Q179" s="108"/>
      <c r="R179" s="108"/>
    </row>
    <row r="180" spans="14:18" x14ac:dyDescent="0.2">
      <c r="N180" s="90"/>
      <c r="O180" s="90"/>
      <c r="P180" s="90"/>
      <c r="Q180" s="108"/>
      <c r="R180" s="108"/>
    </row>
    <row r="181" spans="14:18" x14ac:dyDescent="0.2">
      <c r="N181" s="90"/>
      <c r="O181" s="90"/>
      <c r="P181" s="90"/>
      <c r="Q181" s="108"/>
      <c r="R181" s="108"/>
    </row>
    <row r="182" spans="14:18" x14ac:dyDescent="0.2">
      <c r="N182" s="90"/>
      <c r="O182" s="90"/>
      <c r="P182" s="90"/>
      <c r="Q182" s="108"/>
      <c r="R182" s="108"/>
    </row>
    <row r="183" spans="14:18" x14ac:dyDescent="0.2">
      <c r="N183" s="90"/>
      <c r="O183" s="90"/>
      <c r="P183" s="90"/>
      <c r="Q183" s="108"/>
      <c r="R183" s="108"/>
    </row>
    <row r="184" spans="14:18" x14ac:dyDescent="0.2">
      <c r="N184" s="90"/>
      <c r="O184" s="90"/>
      <c r="P184" s="90"/>
      <c r="Q184" s="108"/>
      <c r="R184" s="108"/>
    </row>
    <row r="185" spans="14:18" x14ac:dyDescent="0.2">
      <c r="N185" s="90"/>
      <c r="O185" s="90"/>
      <c r="P185" s="90"/>
      <c r="Q185" s="108"/>
      <c r="R185" s="108"/>
    </row>
    <row r="186" spans="14:18" x14ac:dyDescent="0.2">
      <c r="N186" s="90"/>
      <c r="O186" s="90"/>
      <c r="P186" s="90"/>
      <c r="Q186" s="108"/>
      <c r="R186" s="108"/>
    </row>
    <row r="187" spans="14:18" x14ac:dyDescent="0.2">
      <c r="N187" s="90"/>
      <c r="O187" s="90"/>
      <c r="P187" s="90"/>
      <c r="Q187" s="108"/>
      <c r="R187" s="108"/>
    </row>
    <row r="188" spans="14:18" x14ac:dyDescent="0.2">
      <c r="N188" s="90"/>
      <c r="O188" s="90"/>
      <c r="P188" s="90"/>
      <c r="Q188" s="108"/>
      <c r="R188" s="108"/>
    </row>
    <row r="189" spans="14:18" x14ac:dyDescent="0.2">
      <c r="N189" s="90"/>
      <c r="O189" s="90"/>
      <c r="P189" s="90"/>
      <c r="Q189" s="108"/>
      <c r="R189" s="108"/>
    </row>
    <row r="190" spans="14:18" x14ac:dyDescent="0.2">
      <c r="N190" s="90"/>
      <c r="O190" s="90"/>
      <c r="P190" s="90"/>
      <c r="Q190" s="108"/>
      <c r="R190" s="108"/>
    </row>
    <row r="191" spans="14:18" x14ac:dyDescent="0.2">
      <c r="N191" s="90"/>
      <c r="O191" s="90"/>
      <c r="P191" s="90"/>
      <c r="Q191" s="108"/>
      <c r="R191" s="108"/>
    </row>
    <row r="192" spans="14:18" x14ac:dyDescent="0.2">
      <c r="N192" s="90"/>
      <c r="O192" s="90"/>
      <c r="P192" s="90"/>
      <c r="Q192" s="108"/>
      <c r="R192" s="108"/>
    </row>
    <row r="193" spans="14:18" x14ac:dyDescent="0.2">
      <c r="N193" s="90"/>
      <c r="O193" s="90"/>
      <c r="P193" s="90"/>
      <c r="Q193" s="108"/>
      <c r="R193" s="108"/>
    </row>
    <row r="194" spans="14:18" x14ac:dyDescent="0.2">
      <c r="N194" s="90"/>
      <c r="O194" s="90"/>
      <c r="P194" s="90"/>
      <c r="Q194" s="108"/>
      <c r="R194" s="108"/>
    </row>
    <row r="195" spans="14:18" x14ac:dyDescent="0.2">
      <c r="N195" s="90"/>
      <c r="O195" s="90"/>
      <c r="P195" s="90"/>
      <c r="Q195" s="108"/>
      <c r="R195" s="108"/>
    </row>
    <row r="196" spans="14:18" x14ac:dyDescent="0.2">
      <c r="N196" s="90"/>
      <c r="O196" s="90"/>
      <c r="P196" s="90"/>
      <c r="Q196" s="108"/>
      <c r="R196" s="108"/>
    </row>
    <row r="197" spans="14:18" x14ac:dyDescent="0.2">
      <c r="N197" s="90"/>
      <c r="O197" s="90"/>
      <c r="P197" s="90"/>
      <c r="Q197" s="108"/>
      <c r="R197" s="108"/>
    </row>
    <row r="198" spans="14:18" x14ac:dyDescent="0.2">
      <c r="N198" s="90"/>
      <c r="O198" s="90"/>
      <c r="P198" s="90"/>
      <c r="Q198" s="108"/>
      <c r="R198" s="108"/>
    </row>
    <row r="199" spans="14:18" x14ac:dyDescent="0.2">
      <c r="N199" s="90"/>
      <c r="O199" s="90"/>
      <c r="P199" s="90"/>
      <c r="Q199" s="108"/>
      <c r="R199" s="108"/>
    </row>
    <row r="200" spans="14:18" x14ac:dyDescent="0.2">
      <c r="N200" s="90"/>
      <c r="O200" s="90"/>
      <c r="P200" s="90"/>
      <c r="Q200" s="108"/>
      <c r="R200" s="108"/>
    </row>
    <row r="201" spans="14:18" x14ac:dyDescent="0.2">
      <c r="N201" s="90"/>
      <c r="O201" s="90"/>
      <c r="P201" s="90"/>
      <c r="Q201" s="108"/>
      <c r="R201" s="108"/>
    </row>
    <row r="202" spans="14:18" x14ac:dyDescent="0.2">
      <c r="N202" s="90"/>
      <c r="O202" s="90"/>
      <c r="P202" s="90"/>
      <c r="Q202" s="108"/>
      <c r="R202" s="108"/>
    </row>
    <row r="203" spans="14:18" x14ac:dyDescent="0.2">
      <c r="N203" s="90"/>
      <c r="O203" s="90"/>
      <c r="P203" s="90"/>
      <c r="Q203" s="108"/>
      <c r="R203" s="108"/>
    </row>
    <row r="204" spans="14:18" x14ac:dyDescent="0.2">
      <c r="N204" s="90"/>
      <c r="O204" s="90"/>
      <c r="P204" s="90"/>
      <c r="Q204" s="108"/>
      <c r="R204" s="108"/>
    </row>
    <row r="205" spans="14:18" x14ac:dyDescent="0.2">
      <c r="N205" s="90"/>
      <c r="O205" s="90"/>
      <c r="P205" s="90"/>
      <c r="Q205" s="108"/>
      <c r="R205" s="108"/>
    </row>
    <row r="206" spans="14:18" x14ac:dyDescent="0.2">
      <c r="N206" s="90"/>
      <c r="O206" s="90"/>
      <c r="P206" s="90"/>
      <c r="Q206" s="108"/>
      <c r="R206" s="108"/>
    </row>
    <row r="207" spans="14:18" x14ac:dyDescent="0.2">
      <c r="N207" s="90"/>
      <c r="O207" s="90"/>
      <c r="P207" s="90"/>
      <c r="Q207" s="108"/>
      <c r="R207" s="108"/>
    </row>
    <row r="208" spans="14:18" x14ac:dyDescent="0.2">
      <c r="N208" s="90"/>
      <c r="O208" s="90"/>
      <c r="P208" s="90"/>
      <c r="Q208" s="108"/>
      <c r="R208" s="108"/>
    </row>
    <row r="209" spans="14:18" x14ac:dyDescent="0.2">
      <c r="N209" s="90"/>
      <c r="O209" s="90"/>
      <c r="P209" s="90"/>
      <c r="Q209" s="108"/>
      <c r="R209" s="108"/>
    </row>
    <row r="210" spans="14:18" x14ac:dyDescent="0.2">
      <c r="N210" s="90"/>
      <c r="O210" s="90"/>
      <c r="P210" s="90"/>
      <c r="Q210" s="108"/>
      <c r="R210" s="108"/>
    </row>
    <row r="211" spans="14:18" x14ac:dyDescent="0.2">
      <c r="N211" s="90"/>
      <c r="O211" s="90"/>
      <c r="P211" s="90"/>
      <c r="Q211" s="108"/>
      <c r="R211" s="108"/>
    </row>
    <row r="212" spans="14:18" x14ac:dyDescent="0.2">
      <c r="N212" s="90"/>
      <c r="O212" s="90"/>
      <c r="P212" s="90"/>
      <c r="Q212" s="108"/>
      <c r="R212" s="108"/>
    </row>
    <row r="213" spans="14:18" x14ac:dyDescent="0.2">
      <c r="N213" s="90"/>
      <c r="O213" s="90"/>
      <c r="P213" s="90"/>
      <c r="Q213" s="108"/>
      <c r="R213" s="108"/>
    </row>
    <row r="214" spans="14:18" x14ac:dyDescent="0.2">
      <c r="N214" s="90"/>
      <c r="O214" s="90"/>
      <c r="P214" s="90"/>
      <c r="Q214" s="108"/>
      <c r="R214" s="108"/>
    </row>
    <row r="215" spans="14:18" x14ac:dyDescent="0.2">
      <c r="N215" s="90"/>
      <c r="O215" s="90"/>
      <c r="P215" s="90"/>
      <c r="Q215" s="108"/>
      <c r="R215" s="108"/>
    </row>
    <row r="216" spans="14:18" x14ac:dyDescent="0.2">
      <c r="N216" s="90"/>
      <c r="O216" s="90"/>
      <c r="P216" s="90"/>
      <c r="Q216" s="108"/>
      <c r="R216" s="108"/>
    </row>
    <row r="217" spans="14:18" x14ac:dyDescent="0.2">
      <c r="N217" s="90"/>
      <c r="O217" s="90"/>
      <c r="P217" s="90"/>
      <c r="Q217" s="108"/>
      <c r="R217" s="108"/>
    </row>
    <row r="218" spans="14:18" x14ac:dyDescent="0.2">
      <c r="N218" s="90"/>
      <c r="O218" s="90"/>
      <c r="P218" s="90"/>
      <c r="Q218" s="108"/>
      <c r="R218" s="108"/>
    </row>
    <row r="219" spans="14:18" x14ac:dyDescent="0.2">
      <c r="N219" s="90"/>
      <c r="O219" s="90"/>
      <c r="P219" s="90"/>
      <c r="Q219" s="108"/>
      <c r="R219" s="108"/>
    </row>
    <row r="220" spans="14:18" x14ac:dyDescent="0.2">
      <c r="N220" s="90"/>
      <c r="O220" s="90"/>
      <c r="P220" s="90"/>
      <c r="Q220" s="108"/>
      <c r="R220" s="108"/>
    </row>
    <row r="221" spans="14:18" x14ac:dyDescent="0.2">
      <c r="N221" s="90"/>
      <c r="O221" s="90"/>
      <c r="P221" s="90"/>
      <c r="Q221" s="108"/>
      <c r="R221" s="108"/>
    </row>
    <row r="222" spans="14:18" x14ac:dyDescent="0.2">
      <c r="N222" s="90"/>
      <c r="O222" s="90"/>
      <c r="P222" s="90"/>
      <c r="Q222" s="108"/>
      <c r="R222" s="108"/>
    </row>
    <row r="223" spans="14:18" x14ac:dyDescent="0.2">
      <c r="N223" s="90"/>
      <c r="O223" s="90"/>
      <c r="P223" s="90"/>
      <c r="Q223" s="108"/>
      <c r="R223" s="108"/>
    </row>
    <row r="224" spans="14:18" x14ac:dyDescent="0.2">
      <c r="N224" s="90"/>
      <c r="O224" s="90"/>
      <c r="P224" s="90"/>
      <c r="Q224" s="108"/>
      <c r="R224" s="108"/>
    </row>
    <row r="225" spans="14:18" x14ac:dyDescent="0.2">
      <c r="N225" s="90"/>
      <c r="O225" s="90"/>
      <c r="P225" s="90"/>
      <c r="Q225" s="108"/>
      <c r="R225" s="108"/>
    </row>
    <row r="226" spans="14:18" x14ac:dyDescent="0.2">
      <c r="N226" s="90"/>
      <c r="O226" s="90"/>
      <c r="P226" s="90"/>
      <c r="Q226" s="108"/>
      <c r="R226" s="108"/>
    </row>
    <row r="227" spans="14:18" x14ac:dyDescent="0.2">
      <c r="N227" s="90"/>
      <c r="O227" s="90"/>
      <c r="P227" s="90"/>
      <c r="Q227" s="108"/>
      <c r="R227" s="108"/>
    </row>
    <row r="228" spans="14:18" x14ac:dyDescent="0.2">
      <c r="N228" s="90"/>
      <c r="O228" s="90"/>
      <c r="P228" s="90"/>
      <c r="Q228" s="108"/>
      <c r="R228" s="108"/>
    </row>
    <row r="229" spans="14:18" x14ac:dyDescent="0.2">
      <c r="N229" s="90"/>
      <c r="O229" s="90"/>
      <c r="P229" s="90"/>
      <c r="Q229" s="108"/>
      <c r="R229" s="108"/>
    </row>
    <row r="230" spans="14:18" x14ac:dyDescent="0.2">
      <c r="N230" s="90"/>
      <c r="O230" s="90"/>
      <c r="P230" s="90"/>
      <c r="Q230" s="108"/>
      <c r="R230" s="108"/>
    </row>
    <row r="231" spans="14:18" x14ac:dyDescent="0.2">
      <c r="N231" s="90"/>
      <c r="O231" s="90"/>
      <c r="P231" s="90"/>
      <c r="Q231" s="108"/>
      <c r="R231" s="108"/>
    </row>
    <row r="232" spans="14:18" x14ac:dyDescent="0.2">
      <c r="N232" s="90"/>
      <c r="O232" s="90"/>
      <c r="P232" s="90"/>
      <c r="Q232" s="108"/>
      <c r="R232" s="108"/>
    </row>
    <row r="233" spans="14:18" x14ac:dyDescent="0.2">
      <c r="N233" s="90"/>
      <c r="O233" s="90"/>
      <c r="P233" s="90"/>
      <c r="Q233" s="108"/>
      <c r="R233" s="108"/>
    </row>
    <row r="234" spans="14:18" x14ac:dyDescent="0.2">
      <c r="N234" s="90"/>
      <c r="O234" s="90"/>
      <c r="P234" s="90"/>
      <c r="Q234" s="108"/>
      <c r="R234" s="108"/>
    </row>
    <row r="235" spans="14:18" x14ac:dyDescent="0.2">
      <c r="N235" s="90"/>
      <c r="O235" s="90"/>
      <c r="P235" s="90"/>
      <c r="Q235" s="108"/>
      <c r="R235" s="108"/>
    </row>
    <row r="236" spans="14:18" x14ac:dyDescent="0.2">
      <c r="N236" s="90"/>
      <c r="O236" s="90"/>
      <c r="P236" s="90"/>
      <c r="Q236" s="108"/>
      <c r="R236" s="108"/>
    </row>
    <row r="237" spans="14:18" x14ac:dyDescent="0.2">
      <c r="N237" s="90"/>
      <c r="O237" s="90"/>
      <c r="P237" s="90"/>
      <c r="Q237" s="108"/>
      <c r="R237" s="108"/>
    </row>
    <row r="238" spans="14:18" x14ac:dyDescent="0.2">
      <c r="N238" s="90"/>
      <c r="O238" s="90"/>
      <c r="P238" s="90"/>
      <c r="Q238" s="108"/>
      <c r="R238" s="108"/>
    </row>
    <row r="239" spans="14:18" x14ac:dyDescent="0.2">
      <c r="N239" s="90"/>
      <c r="O239" s="90"/>
      <c r="P239" s="90"/>
      <c r="Q239" s="108"/>
      <c r="R239" s="108"/>
    </row>
    <row r="240" spans="14:18" x14ac:dyDescent="0.2">
      <c r="N240" s="90"/>
      <c r="O240" s="90"/>
      <c r="P240" s="90"/>
      <c r="Q240" s="108"/>
      <c r="R240" s="108"/>
    </row>
    <row r="241" spans="14:18" x14ac:dyDescent="0.2">
      <c r="N241" s="90"/>
      <c r="O241" s="90"/>
      <c r="P241" s="90"/>
      <c r="Q241" s="108"/>
      <c r="R241" s="108"/>
    </row>
    <row r="242" spans="14:18" x14ac:dyDescent="0.2">
      <c r="N242" s="90"/>
      <c r="O242" s="90"/>
      <c r="P242" s="90"/>
      <c r="Q242" s="108"/>
      <c r="R242" s="108"/>
    </row>
    <row r="243" spans="14:18" x14ac:dyDescent="0.2">
      <c r="N243" s="90"/>
      <c r="O243" s="90"/>
      <c r="P243" s="90"/>
      <c r="Q243" s="108"/>
      <c r="R243" s="108"/>
    </row>
    <row r="244" spans="14:18" x14ac:dyDescent="0.2">
      <c r="N244" s="90"/>
      <c r="O244" s="90"/>
      <c r="P244" s="90"/>
      <c r="Q244" s="108"/>
      <c r="R244" s="108"/>
    </row>
    <row r="245" spans="14:18" x14ac:dyDescent="0.2">
      <c r="N245" s="90"/>
      <c r="O245" s="90"/>
      <c r="P245" s="90"/>
      <c r="Q245" s="108"/>
      <c r="R245" s="108"/>
    </row>
    <row r="246" spans="14:18" x14ac:dyDescent="0.2">
      <c r="N246" s="90"/>
      <c r="O246" s="90"/>
      <c r="P246" s="90"/>
      <c r="Q246" s="108"/>
      <c r="R246" s="108"/>
    </row>
    <row r="247" spans="14:18" x14ac:dyDescent="0.2">
      <c r="N247" s="90"/>
      <c r="O247" s="90"/>
      <c r="P247" s="90"/>
      <c r="Q247" s="108"/>
      <c r="R247" s="108"/>
    </row>
    <row r="248" spans="14:18" x14ac:dyDescent="0.2">
      <c r="N248" s="90"/>
      <c r="O248" s="90"/>
      <c r="P248" s="90"/>
      <c r="Q248" s="108"/>
      <c r="R248" s="108"/>
    </row>
    <row r="249" spans="14:18" x14ac:dyDescent="0.2">
      <c r="N249" s="90"/>
      <c r="O249" s="90"/>
      <c r="P249" s="90"/>
      <c r="Q249" s="108"/>
      <c r="R249" s="108"/>
    </row>
    <row r="250" spans="14:18" x14ac:dyDescent="0.2">
      <c r="N250" s="90"/>
      <c r="O250" s="90"/>
      <c r="P250" s="90"/>
      <c r="Q250" s="108"/>
      <c r="R250" s="108"/>
    </row>
    <row r="251" spans="14:18" x14ac:dyDescent="0.2">
      <c r="N251" s="90"/>
      <c r="O251" s="90"/>
      <c r="P251" s="90"/>
      <c r="Q251" s="108"/>
      <c r="R251" s="108"/>
    </row>
    <row r="252" spans="14:18" x14ac:dyDescent="0.2">
      <c r="N252" s="90"/>
      <c r="O252" s="90"/>
      <c r="P252" s="90"/>
      <c r="Q252" s="108"/>
      <c r="R252" s="108"/>
    </row>
    <row r="253" spans="14:18" x14ac:dyDescent="0.2">
      <c r="N253" s="90"/>
      <c r="O253" s="90"/>
      <c r="P253" s="90"/>
      <c r="Q253" s="108"/>
      <c r="R253" s="108"/>
    </row>
    <row r="254" spans="14:18" x14ac:dyDescent="0.2">
      <c r="N254" s="90"/>
      <c r="O254" s="90"/>
      <c r="P254" s="90"/>
      <c r="Q254" s="108"/>
      <c r="R254" s="108"/>
    </row>
    <row r="255" spans="14:18" x14ac:dyDescent="0.2">
      <c r="N255" s="90"/>
      <c r="O255" s="90"/>
      <c r="P255" s="90"/>
      <c r="Q255" s="108"/>
      <c r="R255" s="108"/>
    </row>
    <row r="256" spans="14:18" x14ac:dyDescent="0.2">
      <c r="N256" s="90"/>
      <c r="O256" s="90"/>
      <c r="P256" s="90"/>
      <c r="Q256" s="108"/>
      <c r="R256" s="108"/>
    </row>
    <row r="257" spans="14:18" x14ac:dyDescent="0.2">
      <c r="N257" s="90"/>
      <c r="O257" s="90"/>
      <c r="P257" s="90"/>
      <c r="Q257" s="108"/>
      <c r="R257" s="108"/>
    </row>
    <row r="258" spans="14:18" x14ac:dyDescent="0.2">
      <c r="N258" s="90"/>
      <c r="O258" s="90"/>
      <c r="P258" s="90"/>
      <c r="Q258" s="108"/>
      <c r="R258" s="108"/>
    </row>
    <row r="259" spans="14:18" x14ac:dyDescent="0.2">
      <c r="N259" s="90"/>
      <c r="O259" s="90"/>
      <c r="P259" s="90"/>
      <c r="Q259" s="108"/>
      <c r="R259" s="108"/>
    </row>
    <row r="260" spans="14:18" x14ac:dyDescent="0.2">
      <c r="N260" s="90"/>
      <c r="O260" s="90"/>
      <c r="P260" s="90"/>
      <c r="Q260" s="108"/>
      <c r="R260" s="108"/>
    </row>
    <row r="261" spans="14:18" x14ac:dyDescent="0.2">
      <c r="N261" s="90"/>
      <c r="O261" s="90"/>
      <c r="P261" s="90"/>
      <c r="Q261" s="108"/>
      <c r="R261" s="108"/>
    </row>
    <row r="262" spans="14:18" x14ac:dyDescent="0.2">
      <c r="N262" s="90"/>
      <c r="O262" s="90"/>
      <c r="P262" s="90"/>
      <c r="Q262" s="108"/>
      <c r="R262" s="108"/>
    </row>
    <row r="263" spans="14:18" x14ac:dyDescent="0.2">
      <c r="N263" s="90"/>
      <c r="O263" s="90"/>
      <c r="P263" s="90"/>
      <c r="Q263" s="108"/>
      <c r="R263" s="108"/>
    </row>
    <row r="264" spans="14:18" x14ac:dyDescent="0.2">
      <c r="N264" s="90"/>
      <c r="O264" s="90"/>
      <c r="P264" s="90"/>
      <c r="Q264" s="108"/>
      <c r="R264" s="108"/>
    </row>
    <row r="265" spans="14:18" x14ac:dyDescent="0.2">
      <c r="N265" s="90"/>
      <c r="O265" s="90"/>
      <c r="P265" s="90"/>
      <c r="Q265" s="108"/>
      <c r="R265" s="108"/>
    </row>
    <row r="266" spans="14:18" x14ac:dyDescent="0.2">
      <c r="N266" s="90"/>
      <c r="O266" s="90"/>
      <c r="P266" s="90"/>
      <c r="Q266" s="108"/>
      <c r="R266" s="108"/>
    </row>
  </sheetData>
  <mergeCells count="13">
    <mergeCell ref="B7:Y9"/>
    <mergeCell ref="B3:R4"/>
    <mergeCell ref="B5:R6"/>
    <mergeCell ref="B1:R2"/>
    <mergeCell ref="AR25:AS25"/>
    <mergeCell ref="B13:L14"/>
    <mergeCell ref="O13:Y14"/>
    <mergeCell ref="AI6:AL12"/>
    <mergeCell ref="AB13:AL14"/>
    <mergeCell ref="AR1:AS1"/>
    <mergeCell ref="AR17:AS17"/>
    <mergeCell ref="V5:X6"/>
    <mergeCell ref="AG1:AH7"/>
  </mergeCells>
  <pageMargins left="0.70866141732283472" right="0.70866141732283472" top="0.78740157480314965" bottom="0.78740157480314965" header="0.31496062992125984" footer="0.31496062992125984"/>
  <pageSetup paperSize="9" scale="32" fitToHeight="0" orientation="landscape" r:id="rId1"/>
  <colBreaks count="2" manualBreakCount="2">
    <brk id="13" max="106" man="1"/>
    <brk id="26" max="106" man="1"/>
  </colBreaks>
  <drawing r:id="rId2"/>
  <extLst>
    <ext xmlns:x14="http://schemas.microsoft.com/office/spreadsheetml/2009/9/main" uri="{78C0D931-6437-407d-A8EE-F0AAD7539E65}">
      <x14:conditionalFormattings>
        <x14:conditionalFormatting xmlns:xm="http://schemas.microsoft.com/office/excel/2006/main">
          <x14:cfRule type="expression" priority="1" id="{0B67C1FA-FC5E-420C-B6D1-80C25C5CD35A}">
            <xm:f>(Stammdaten!$B$1="Schweiz")</xm:f>
            <x14:dxf>
              <font>
                <color theme="0"/>
              </font>
              <fill>
                <patternFill>
                  <bgColor rgb="FFFF0000"/>
                </patternFill>
              </fill>
              <border>
                <left/>
                <right/>
                <top/>
                <bottom/>
                <vertical/>
                <horizontal/>
              </border>
            </x14:dxf>
          </x14:cfRule>
          <xm:sqref>AG1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209"/>
  <sheetViews>
    <sheetView showGridLines="0" zoomScale="90" zoomScaleNormal="90" workbookViewId="0">
      <selection activeCell="B13" sqref="B13:B15"/>
    </sheetView>
  </sheetViews>
  <sheetFormatPr baseColWidth="10" defaultRowHeight="12.75" x14ac:dyDescent="0.2"/>
  <cols>
    <col min="1" max="1" width="2" customWidth="1"/>
    <col min="2" max="2" width="117" customWidth="1"/>
    <col min="3" max="3" width="3.42578125" style="125" customWidth="1"/>
    <col min="4" max="5" width="16.7109375" customWidth="1"/>
    <col min="6" max="6" width="11.140625" customWidth="1"/>
    <col min="7" max="7" width="2.42578125" customWidth="1"/>
  </cols>
  <sheetData>
    <row r="2" spans="2:6" ht="15.6" customHeight="1" x14ac:dyDescent="0.2">
      <c r="B2" s="176" t="str">
        <f>'Beschreibung &amp; Aktualisierung'!B2</f>
        <v>Der ZEQ-Szenariorechner zum Strukturbedarf im Rahmen der COVID-19-Pandemie Version 5.1</v>
      </c>
      <c r="C2" s="121"/>
    </row>
    <row r="3" spans="2:6" ht="13.5" thickBot="1" x14ac:dyDescent="0.25"/>
    <row r="4" spans="2:6" ht="23.85" customHeight="1" x14ac:dyDescent="0.2">
      <c r="B4" s="181" t="s">
        <v>280</v>
      </c>
      <c r="C4" s="122"/>
    </row>
    <row r="5" spans="2:6" ht="45.4" customHeight="1" x14ac:dyDescent="0.2">
      <c r="B5" s="407" t="s">
        <v>281</v>
      </c>
      <c r="C5" s="122"/>
    </row>
    <row r="6" spans="2:6" ht="23.85" customHeight="1" thickBot="1" x14ac:dyDescent="0.25">
      <c r="B6" s="408"/>
      <c r="C6" s="122"/>
      <c r="D6" s="256" t="s">
        <v>121</v>
      </c>
      <c r="E6" s="256"/>
      <c r="F6" s="256"/>
    </row>
    <row r="7" spans="2:6" ht="23.85" customHeight="1" thickBot="1" x14ac:dyDescent="0.25">
      <c r="C7" s="122"/>
      <c r="D7" s="256"/>
      <c r="E7" s="256"/>
      <c r="F7" s="256"/>
    </row>
    <row r="8" spans="2:6" ht="23.85" customHeight="1" x14ac:dyDescent="0.2">
      <c r="B8" s="181" t="s">
        <v>278</v>
      </c>
      <c r="C8" s="122"/>
      <c r="D8" s="256"/>
      <c r="E8" s="256"/>
      <c r="F8" s="256"/>
    </row>
    <row r="9" spans="2:6" ht="39.6" customHeight="1" x14ac:dyDescent="0.2">
      <c r="B9" s="407" t="s">
        <v>279</v>
      </c>
      <c r="C9" s="122"/>
      <c r="D9" s="256"/>
      <c r="E9" s="256"/>
      <c r="F9" s="256"/>
    </row>
    <row r="10" spans="2:6" ht="23.85" customHeight="1" thickBot="1" x14ac:dyDescent="0.25">
      <c r="B10" s="408"/>
      <c r="C10" s="122"/>
      <c r="D10" s="256"/>
      <c r="E10" s="256"/>
      <c r="F10" s="256"/>
    </row>
    <row r="11" spans="2:6" ht="23.85" customHeight="1" thickBot="1" x14ac:dyDescent="0.25">
      <c r="C11" s="122"/>
      <c r="D11" s="226"/>
      <c r="E11" s="250" t="str">
        <f>'Beschreibung &amp; Aktualisierung'!E21</f>
        <v>Version 5.1</v>
      </c>
      <c r="F11" s="250"/>
    </row>
    <row r="12" spans="2:6" ht="23.85" customHeight="1" x14ac:dyDescent="0.2">
      <c r="B12" s="181" t="s">
        <v>265</v>
      </c>
      <c r="C12" s="123"/>
      <c r="D12" s="226"/>
      <c r="E12" s="409">
        <f>'Beschreibung &amp; Aktualisierung'!E22</f>
        <v>44342</v>
      </c>
      <c r="F12" s="409"/>
    </row>
    <row r="13" spans="2:6" ht="23.85" customHeight="1" x14ac:dyDescent="0.2">
      <c r="B13" s="407" t="s">
        <v>267</v>
      </c>
      <c r="C13" s="123"/>
      <c r="D13" s="226"/>
    </row>
    <row r="14" spans="2:6" ht="23.85" customHeight="1" x14ac:dyDescent="0.2">
      <c r="B14" s="407"/>
      <c r="C14" s="123"/>
      <c r="D14" s="244"/>
    </row>
    <row r="15" spans="2:6" ht="23.85" customHeight="1" thickBot="1" x14ac:dyDescent="0.25">
      <c r="B15" s="408"/>
      <c r="C15" s="123"/>
      <c r="D15" s="226"/>
    </row>
    <row r="16" spans="2:6" ht="23.85" customHeight="1" thickBot="1" x14ac:dyDescent="0.25">
      <c r="C16" s="123"/>
      <c r="D16" s="226"/>
      <c r="E16" s="227"/>
      <c r="F16" s="227"/>
    </row>
    <row r="17" spans="2:6" ht="23.85" customHeight="1" x14ac:dyDescent="0.2">
      <c r="B17" s="181" t="s">
        <v>261</v>
      </c>
      <c r="C17" s="123"/>
      <c r="D17" s="226"/>
      <c r="E17" s="226"/>
      <c r="F17" s="226"/>
    </row>
    <row r="18" spans="2:6" ht="23.85" customHeight="1" thickBot="1" x14ac:dyDescent="0.25">
      <c r="B18" s="407" t="s">
        <v>266</v>
      </c>
      <c r="C18" s="123"/>
      <c r="D18" s="244"/>
      <c r="E18" s="244"/>
      <c r="F18" s="244"/>
    </row>
    <row r="19" spans="2:6" ht="23.85" customHeight="1" thickBot="1" x14ac:dyDescent="0.25">
      <c r="B19" s="408"/>
      <c r="C19" s="123"/>
      <c r="D19" s="264" t="s">
        <v>180</v>
      </c>
      <c r="E19" s="265"/>
      <c r="F19" s="266"/>
    </row>
    <row r="20" spans="2:6" ht="23.85" customHeight="1" thickBot="1" x14ac:dyDescent="0.25">
      <c r="C20" s="123"/>
      <c r="D20" s="267"/>
      <c r="E20" s="268"/>
      <c r="F20" s="269"/>
    </row>
    <row r="21" spans="2:6" ht="23.85" customHeight="1" x14ac:dyDescent="0.2">
      <c r="B21" s="181" t="s">
        <v>259</v>
      </c>
      <c r="C21" s="123"/>
      <c r="D21" s="267"/>
      <c r="E21" s="268"/>
      <c r="F21" s="269"/>
    </row>
    <row r="22" spans="2:6" ht="23.85" customHeight="1" x14ac:dyDescent="0.2">
      <c r="B22" s="407" t="s">
        <v>260</v>
      </c>
      <c r="C22" s="123"/>
      <c r="D22" s="401" t="s">
        <v>253</v>
      </c>
      <c r="E22" s="402"/>
      <c r="F22" s="403"/>
    </row>
    <row r="23" spans="2:6" ht="23.85" customHeight="1" thickBot="1" x14ac:dyDescent="0.25">
      <c r="B23" s="408"/>
      <c r="C23" s="123"/>
      <c r="D23" s="401"/>
      <c r="E23" s="402"/>
      <c r="F23" s="403"/>
    </row>
    <row r="24" spans="2:6" ht="23.85" customHeight="1" thickBot="1" x14ac:dyDescent="0.25">
      <c r="C24" s="123"/>
      <c r="D24" s="401"/>
      <c r="E24" s="402"/>
      <c r="F24" s="403"/>
    </row>
    <row r="25" spans="2:6" ht="23.85" customHeight="1" x14ac:dyDescent="0.2">
      <c r="B25" s="181" t="s">
        <v>252</v>
      </c>
      <c r="C25" s="123"/>
      <c r="D25" s="401"/>
      <c r="E25" s="402"/>
      <c r="F25" s="403"/>
    </row>
    <row r="26" spans="2:6" ht="23.85" customHeight="1" x14ac:dyDescent="0.2">
      <c r="B26" s="407" t="s">
        <v>257</v>
      </c>
      <c r="C26" s="123"/>
      <c r="D26" s="401"/>
      <c r="E26" s="402"/>
      <c r="F26" s="403"/>
    </row>
    <row r="27" spans="2:6" ht="23.85" customHeight="1" x14ac:dyDescent="0.2">
      <c r="B27" s="407"/>
      <c r="C27" s="123"/>
      <c r="D27" s="401"/>
      <c r="E27" s="402"/>
      <c r="F27" s="403"/>
    </row>
    <row r="28" spans="2:6" ht="23.85" customHeight="1" thickBot="1" x14ac:dyDescent="0.25">
      <c r="B28" s="407" t="s">
        <v>256</v>
      </c>
      <c r="C28" s="123"/>
      <c r="D28" s="404"/>
      <c r="E28" s="405"/>
      <c r="F28" s="406"/>
    </row>
    <row r="29" spans="2:6" ht="23.85" customHeight="1" thickBot="1" x14ac:dyDescent="0.25">
      <c r="B29" s="408"/>
      <c r="C29" s="123"/>
    </row>
    <row r="30" spans="2:6" ht="23.85" customHeight="1" thickBot="1" x14ac:dyDescent="0.25">
      <c r="C30" s="123"/>
    </row>
    <row r="31" spans="2:6" ht="23.85" customHeight="1" x14ac:dyDescent="0.2">
      <c r="B31" s="181" t="s">
        <v>249</v>
      </c>
      <c r="C31" s="123"/>
      <c r="D31" s="226"/>
      <c r="E31" s="226"/>
      <c r="F31" s="226"/>
    </row>
    <row r="32" spans="2:6" ht="23.85" customHeight="1" x14ac:dyDescent="0.2">
      <c r="B32" s="240" t="s">
        <v>248</v>
      </c>
      <c r="C32" s="123"/>
      <c r="D32" s="226"/>
      <c r="E32" s="226"/>
      <c r="F32" s="226"/>
    </row>
    <row r="33" spans="2:3" ht="23.85" customHeight="1" x14ac:dyDescent="0.2">
      <c r="B33" s="407" t="s">
        <v>250</v>
      </c>
      <c r="C33" s="123"/>
    </row>
    <row r="34" spans="2:3" ht="23.85" customHeight="1" thickBot="1" x14ac:dyDescent="0.25">
      <c r="B34" s="408"/>
      <c r="C34" s="123"/>
    </row>
    <row r="35" spans="2:3" ht="23.85" customHeight="1" thickBot="1" x14ac:dyDescent="0.25">
      <c r="C35" s="123"/>
    </row>
    <row r="36" spans="2:3" ht="23.85" customHeight="1" x14ac:dyDescent="0.2">
      <c r="B36" s="181" t="s">
        <v>239</v>
      </c>
      <c r="C36" s="123"/>
    </row>
    <row r="37" spans="2:3" ht="23.85" customHeight="1" x14ac:dyDescent="0.2">
      <c r="B37" s="407" t="s">
        <v>240</v>
      </c>
      <c r="C37" s="123"/>
    </row>
    <row r="38" spans="2:3" ht="23.85" customHeight="1" x14ac:dyDescent="0.2">
      <c r="B38" s="407"/>
      <c r="C38" s="45"/>
    </row>
    <row r="39" spans="2:3" ht="23.85" customHeight="1" x14ac:dyDescent="0.2">
      <c r="B39" s="242" t="s">
        <v>247</v>
      </c>
      <c r="C39" s="46"/>
    </row>
    <row r="40" spans="2:3" ht="23.85" customHeight="1" x14ac:dyDescent="0.2">
      <c r="B40" s="240" t="s">
        <v>242</v>
      </c>
      <c r="C40" s="46"/>
    </row>
    <row r="41" spans="2:3" ht="23.85" customHeight="1" thickBot="1" x14ac:dyDescent="0.25">
      <c r="B41" s="241"/>
      <c r="C41" s="46"/>
    </row>
    <row r="42" spans="2:3" ht="23.85" customHeight="1" thickBot="1" x14ac:dyDescent="0.25">
      <c r="C42" s="46"/>
    </row>
    <row r="43" spans="2:3" ht="23.85" customHeight="1" x14ac:dyDescent="0.2">
      <c r="B43" s="181" t="s">
        <v>231</v>
      </c>
      <c r="C43" s="46"/>
    </row>
    <row r="44" spans="2:3" ht="23.85" customHeight="1" x14ac:dyDescent="0.2">
      <c r="B44" s="407" t="s">
        <v>232</v>
      </c>
      <c r="C44" s="46"/>
    </row>
    <row r="45" spans="2:3" ht="23.85" customHeight="1" x14ac:dyDescent="0.2">
      <c r="B45" s="407"/>
      <c r="C45" s="46"/>
    </row>
    <row r="46" spans="2:3" ht="23.85" customHeight="1" x14ac:dyDescent="0.2">
      <c r="B46" s="242" t="s">
        <v>233</v>
      </c>
      <c r="C46" s="46"/>
    </row>
    <row r="47" spans="2:3" ht="23.85" customHeight="1" thickBot="1" x14ac:dyDescent="0.25">
      <c r="B47" s="241" t="s">
        <v>234</v>
      </c>
      <c r="C47" s="46"/>
    </row>
    <row r="48" spans="2:3" ht="23.85" customHeight="1" thickBot="1" x14ac:dyDescent="0.25">
      <c r="C48" s="46"/>
    </row>
    <row r="49" spans="2:14" ht="23.85" customHeight="1" x14ac:dyDescent="0.2">
      <c r="B49" s="181" t="s">
        <v>216</v>
      </c>
      <c r="C49" s="46"/>
    </row>
    <row r="50" spans="2:14" ht="23.85" customHeight="1" x14ac:dyDescent="0.2">
      <c r="B50" s="240" t="s">
        <v>258</v>
      </c>
      <c r="C50" s="46"/>
    </row>
    <row r="51" spans="2:14" ht="23.85" customHeight="1" x14ac:dyDescent="0.2">
      <c r="B51" s="407" t="s">
        <v>217</v>
      </c>
      <c r="C51" s="46"/>
    </row>
    <row r="52" spans="2:14" ht="23.85" customHeight="1" x14ac:dyDescent="0.2">
      <c r="B52" s="407"/>
      <c r="C52" s="46"/>
    </row>
    <row r="53" spans="2:14" ht="23.85" customHeight="1" x14ac:dyDescent="0.2">
      <c r="B53" s="240" t="s">
        <v>224</v>
      </c>
      <c r="C53" s="46"/>
    </row>
    <row r="54" spans="2:14" ht="23.85" customHeight="1" thickBot="1" x14ac:dyDescent="0.25">
      <c r="B54" s="241" t="s">
        <v>225</v>
      </c>
      <c r="C54" s="46"/>
    </row>
    <row r="55" spans="2:14" ht="23.85" customHeight="1" thickBot="1" x14ac:dyDescent="0.25">
      <c r="C55" s="46"/>
    </row>
    <row r="56" spans="2:14" ht="23.85" customHeight="1" x14ac:dyDescent="0.2">
      <c r="B56" s="181" t="s">
        <v>194</v>
      </c>
      <c r="C56" s="46"/>
    </row>
    <row r="57" spans="2:14" ht="23.85" customHeight="1" x14ac:dyDescent="0.2">
      <c r="B57" s="240" t="s">
        <v>197</v>
      </c>
      <c r="C57" s="46"/>
    </row>
    <row r="58" spans="2:14" ht="23.85" customHeight="1" x14ac:dyDescent="0.2">
      <c r="B58" s="240" t="s">
        <v>200</v>
      </c>
      <c r="C58" s="46"/>
      <c r="L58" s="256"/>
      <c r="M58" s="256"/>
      <c r="N58" s="256"/>
    </row>
    <row r="59" spans="2:14" ht="23.85" customHeight="1" x14ac:dyDescent="0.2">
      <c r="B59" s="240" t="s">
        <v>209</v>
      </c>
      <c r="C59" s="46"/>
      <c r="L59" s="256"/>
      <c r="M59" s="256"/>
      <c r="N59" s="256"/>
    </row>
    <row r="60" spans="2:14" ht="23.85" customHeight="1" x14ac:dyDescent="0.2">
      <c r="B60" s="407" t="s">
        <v>210</v>
      </c>
      <c r="C60" s="46"/>
      <c r="L60" s="256"/>
      <c r="M60" s="256"/>
      <c r="N60" s="256"/>
    </row>
    <row r="61" spans="2:14" ht="23.85" customHeight="1" x14ac:dyDescent="0.2">
      <c r="B61" s="407"/>
      <c r="C61" s="46"/>
      <c r="L61" s="256"/>
      <c r="M61" s="256"/>
      <c r="N61" s="256"/>
    </row>
    <row r="62" spans="2:14" ht="23.85" customHeight="1" thickBot="1" x14ac:dyDescent="0.25">
      <c r="B62" s="241" t="s">
        <v>211</v>
      </c>
      <c r="C62" s="46"/>
      <c r="L62" s="256"/>
      <c r="M62" s="256"/>
      <c r="N62" s="256"/>
    </row>
    <row r="63" spans="2:14" ht="23.85" customHeight="1" thickBot="1" x14ac:dyDescent="0.25">
      <c r="C63" s="46"/>
      <c r="L63" s="256"/>
      <c r="M63" s="256"/>
      <c r="N63" s="256"/>
    </row>
    <row r="64" spans="2:14" ht="23.85" customHeight="1" x14ac:dyDescent="0.2">
      <c r="B64" s="181" t="s">
        <v>188</v>
      </c>
      <c r="C64" s="46"/>
      <c r="E64" s="59"/>
      <c r="L64" s="256"/>
      <c r="M64" s="256"/>
      <c r="N64" s="256"/>
    </row>
    <row r="65" spans="2:14" ht="23.85" customHeight="1" x14ac:dyDescent="0.2">
      <c r="B65" s="240" t="s">
        <v>187</v>
      </c>
      <c r="C65" s="46"/>
      <c r="E65" s="59"/>
      <c r="L65" s="256"/>
      <c r="M65" s="256"/>
      <c r="N65" s="256"/>
    </row>
    <row r="66" spans="2:14" ht="23.85" customHeight="1" x14ac:dyDescent="0.2">
      <c r="B66" s="240" t="s">
        <v>189</v>
      </c>
      <c r="C66" s="124"/>
      <c r="L66" s="256"/>
      <c r="M66" s="256"/>
      <c r="N66" s="256"/>
    </row>
    <row r="67" spans="2:14" ht="23.85" customHeight="1" x14ac:dyDescent="0.2">
      <c r="B67" s="240" t="s">
        <v>190</v>
      </c>
      <c r="C67" s="124"/>
      <c r="L67" s="256"/>
      <c r="M67" s="256"/>
      <c r="N67" s="256"/>
    </row>
    <row r="68" spans="2:14" ht="23.85" customHeight="1" x14ac:dyDescent="0.2">
      <c r="B68" s="407" t="s">
        <v>191</v>
      </c>
      <c r="C68" s="124"/>
      <c r="L68" s="256"/>
      <c r="M68" s="256"/>
      <c r="N68" s="256"/>
    </row>
    <row r="69" spans="2:14" ht="23.85" customHeight="1" x14ac:dyDescent="0.2">
      <c r="B69" s="407"/>
      <c r="C69" s="124"/>
      <c r="L69" s="256"/>
      <c r="M69" s="256"/>
      <c r="N69" s="256"/>
    </row>
    <row r="70" spans="2:14" ht="23.85" customHeight="1" x14ac:dyDescent="0.2">
      <c r="B70" s="240" t="s">
        <v>192</v>
      </c>
      <c r="C70" s="124"/>
    </row>
    <row r="71" spans="2:14" ht="23.85" customHeight="1" x14ac:dyDescent="0.2">
      <c r="B71" s="240" t="s">
        <v>193</v>
      </c>
      <c r="C71" s="124"/>
    </row>
    <row r="72" spans="2:14" ht="23.85" customHeight="1" x14ac:dyDescent="0.2">
      <c r="B72" s="240"/>
      <c r="C72" s="124"/>
    </row>
    <row r="73" spans="2:14" ht="23.85" customHeight="1" thickBot="1" x14ac:dyDescent="0.25">
      <c r="B73" s="241"/>
      <c r="C73" s="124"/>
    </row>
    <row r="74" spans="2:14" ht="23.85" customHeight="1" x14ac:dyDescent="0.2">
      <c r="C74" s="124"/>
    </row>
    <row r="75" spans="2:14" ht="23.85" customHeight="1" x14ac:dyDescent="0.2">
      <c r="C75" s="124"/>
    </row>
    <row r="76" spans="2:14" ht="23.85" customHeight="1" x14ac:dyDescent="0.2">
      <c r="C76" s="124"/>
    </row>
    <row r="77" spans="2:14" ht="23.85" customHeight="1" x14ac:dyDescent="0.2">
      <c r="C77" s="124"/>
    </row>
    <row r="78" spans="2:14" ht="23.85" customHeight="1" x14ac:dyDescent="0.2">
      <c r="C78" s="124"/>
    </row>
    <row r="79" spans="2:14" ht="23.85" customHeight="1" x14ac:dyDescent="0.2">
      <c r="C79" s="124"/>
    </row>
    <row r="80" spans="2:14" ht="23.85" customHeight="1" x14ac:dyDescent="0.2">
      <c r="C80" s="124"/>
    </row>
    <row r="81" spans="3:3" ht="23.85" customHeight="1" x14ac:dyDescent="0.2">
      <c r="C81" s="124"/>
    </row>
    <row r="82" spans="3:3" ht="23.85" customHeight="1" x14ac:dyDescent="0.2">
      <c r="C82" s="124"/>
    </row>
    <row r="83" spans="3:3" ht="23.85" customHeight="1" x14ac:dyDescent="0.2">
      <c r="C83" s="124"/>
    </row>
    <row r="84" spans="3:3" ht="23.85" customHeight="1" x14ac:dyDescent="0.2">
      <c r="C84" s="124"/>
    </row>
    <row r="85" spans="3:3" ht="23.85" customHeight="1" x14ac:dyDescent="0.2">
      <c r="C85" s="124"/>
    </row>
    <row r="86" spans="3:3" ht="23.85" customHeight="1" x14ac:dyDescent="0.2">
      <c r="C86" s="124"/>
    </row>
    <row r="87" spans="3:3" ht="23.85" customHeight="1" x14ac:dyDescent="0.2">
      <c r="C87" s="124"/>
    </row>
    <row r="88" spans="3:3" ht="23.85" customHeight="1" x14ac:dyDescent="0.2">
      <c r="C88" s="124"/>
    </row>
    <row r="89" spans="3:3" ht="23.85" customHeight="1" x14ac:dyDescent="0.2">
      <c r="C89" s="124"/>
    </row>
    <row r="90" spans="3:3" ht="23.85" customHeight="1" x14ac:dyDescent="0.2">
      <c r="C90" s="124"/>
    </row>
    <row r="91" spans="3:3" ht="23.85" customHeight="1" x14ac:dyDescent="0.2">
      <c r="C91" s="124"/>
    </row>
    <row r="92" spans="3:3" ht="23.85" customHeight="1" x14ac:dyDescent="0.2">
      <c r="C92" s="124"/>
    </row>
    <row r="93" spans="3:3" ht="23.85" customHeight="1" x14ac:dyDescent="0.2">
      <c r="C93" s="124"/>
    </row>
    <row r="94" spans="3:3" ht="14.25" x14ac:dyDescent="0.2">
      <c r="C94" s="124"/>
    </row>
    <row r="95" spans="3:3" ht="14.25" x14ac:dyDescent="0.2">
      <c r="C95" s="124"/>
    </row>
    <row r="96" spans="3:3" ht="14.25" x14ac:dyDescent="0.2">
      <c r="C96" s="124"/>
    </row>
    <row r="97" spans="3:3" ht="14.25" x14ac:dyDescent="0.2">
      <c r="C97" s="124"/>
    </row>
    <row r="98" spans="3:3" ht="14.25" x14ac:dyDescent="0.2">
      <c r="C98" s="124"/>
    </row>
    <row r="99" spans="3:3" ht="14.25" x14ac:dyDescent="0.2">
      <c r="C99" s="124"/>
    </row>
    <row r="100" spans="3:3" ht="14.25" x14ac:dyDescent="0.2">
      <c r="C100" s="124"/>
    </row>
    <row r="101" spans="3:3" ht="14.25" x14ac:dyDescent="0.2">
      <c r="C101" s="124"/>
    </row>
    <row r="102" spans="3:3" ht="14.25" x14ac:dyDescent="0.2">
      <c r="C102" s="124"/>
    </row>
    <row r="103" spans="3:3" ht="14.25" x14ac:dyDescent="0.2">
      <c r="C103" s="124"/>
    </row>
    <row r="104" spans="3:3" ht="14.25" x14ac:dyDescent="0.2">
      <c r="C104" s="124"/>
    </row>
    <row r="105" spans="3:3" ht="14.25" x14ac:dyDescent="0.2">
      <c r="C105" s="124"/>
    </row>
    <row r="106" spans="3:3" ht="14.25" x14ac:dyDescent="0.2">
      <c r="C106" s="124"/>
    </row>
    <row r="107" spans="3:3" ht="14.25" x14ac:dyDescent="0.2">
      <c r="C107" s="124"/>
    </row>
    <row r="108" spans="3:3" ht="14.25" x14ac:dyDescent="0.2">
      <c r="C108" s="124"/>
    </row>
    <row r="109" spans="3:3" ht="14.25" x14ac:dyDescent="0.2">
      <c r="C109" s="124"/>
    </row>
    <row r="110" spans="3:3" ht="14.25" x14ac:dyDescent="0.2">
      <c r="C110" s="124"/>
    </row>
    <row r="111" spans="3:3" ht="14.25" x14ac:dyDescent="0.2">
      <c r="C111" s="124"/>
    </row>
    <row r="112" spans="3:3" ht="14.25" x14ac:dyDescent="0.2">
      <c r="C112" s="124"/>
    </row>
    <row r="113" spans="3:3" ht="14.25" x14ac:dyDescent="0.2">
      <c r="C113" s="124"/>
    </row>
    <row r="114" spans="3:3" ht="14.25" x14ac:dyDescent="0.2">
      <c r="C114" s="124"/>
    </row>
    <row r="115" spans="3:3" ht="14.25" x14ac:dyDescent="0.2">
      <c r="C115" s="124"/>
    </row>
    <row r="116" spans="3:3" ht="14.25" x14ac:dyDescent="0.2">
      <c r="C116" s="124"/>
    </row>
    <row r="117" spans="3:3" ht="14.25" x14ac:dyDescent="0.2">
      <c r="C117" s="124"/>
    </row>
    <row r="118" spans="3:3" ht="14.25" x14ac:dyDescent="0.2">
      <c r="C118" s="124"/>
    </row>
    <row r="119" spans="3:3" ht="14.25" x14ac:dyDescent="0.2">
      <c r="C119" s="124"/>
    </row>
    <row r="120" spans="3:3" ht="14.25" x14ac:dyDescent="0.2">
      <c r="C120" s="124"/>
    </row>
    <row r="121" spans="3:3" ht="14.25" x14ac:dyDescent="0.2">
      <c r="C121" s="124"/>
    </row>
    <row r="122" spans="3:3" ht="14.25" x14ac:dyDescent="0.2">
      <c r="C122" s="124"/>
    </row>
    <row r="123" spans="3:3" ht="14.25" x14ac:dyDescent="0.2">
      <c r="C123" s="124"/>
    </row>
    <row r="124" spans="3:3" ht="14.25" x14ac:dyDescent="0.2">
      <c r="C124" s="124"/>
    </row>
    <row r="125" spans="3:3" ht="14.25" x14ac:dyDescent="0.2">
      <c r="C125" s="124"/>
    </row>
    <row r="126" spans="3:3" ht="14.25" x14ac:dyDescent="0.2">
      <c r="C126" s="124"/>
    </row>
    <row r="127" spans="3:3" ht="14.25" x14ac:dyDescent="0.2">
      <c r="C127" s="124"/>
    </row>
    <row r="128" spans="3:3" ht="14.25" x14ac:dyDescent="0.2">
      <c r="C128" s="124"/>
    </row>
    <row r="129" spans="1:14" ht="12.95" customHeight="1" x14ac:dyDescent="0.2"/>
    <row r="130" spans="1:14" ht="12.95" customHeight="1" x14ac:dyDescent="0.2"/>
    <row r="131" spans="1:14" ht="12.95" customHeight="1" x14ac:dyDescent="0.2"/>
    <row r="132" spans="1:14" ht="12.95" customHeight="1" x14ac:dyDescent="0.2"/>
    <row r="133" spans="1:14" ht="12.95" customHeight="1" x14ac:dyDescent="0.2"/>
    <row r="134" spans="1:14" ht="12.95" customHeight="1" x14ac:dyDescent="0.2"/>
    <row r="135" spans="1:14" ht="12.95" customHeight="1" x14ac:dyDescent="0.2"/>
    <row r="136" spans="1:14" ht="12.95" customHeight="1" x14ac:dyDescent="0.2"/>
    <row r="137" spans="1:14" ht="12.95" customHeight="1" x14ac:dyDescent="0.2"/>
    <row r="138" spans="1:14" ht="12.95" customHeight="1" x14ac:dyDescent="0.2"/>
    <row r="139" spans="1:14" ht="12.95" customHeight="1" x14ac:dyDescent="0.2"/>
    <row r="140" spans="1:14" ht="12.95" customHeight="1" x14ac:dyDescent="0.2"/>
    <row r="141" spans="1:14" ht="12.95" customHeight="1" x14ac:dyDescent="0.2"/>
    <row r="142" spans="1:14" ht="12.95" customHeight="1" x14ac:dyDescent="0.2"/>
    <row r="143" spans="1:14" ht="12.95" customHeight="1" x14ac:dyDescent="0.2">
      <c r="B143" s="239"/>
    </row>
    <row r="144" spans="1:14" s="125" customFormat="1" ht="12.95" customHeight="1" x14ac:dyDescent="0.2">
      <c r="A144"/>
      <c r="B144" s="239"/>
      <c r="D144"/>
      <c r="E144"/>
      <c r="F144"/>
      <c r="G144"/>
      <c r="H144"/>
      <c r="I144"/>
      <c r="J144"/>
      <c r="K144"/>
      <c r="L144"/>
      <c r="M144"/>
      <c r="N144"/>
    </row>
    <row r="145" spans="1:14" s="125" customFormat="1" ht="12.95" customHeight="1" x14ac:dyDescent="0.2">
      <c r="A145"/>
      <c r="B145" s="239"/>
      <c r="D145"/>
      <c r="E145"/>
      <c r="F145"/>
      <c r="G145"/>
      <c r="H145"/>
      <c r="I145"/>
      <c r="J145"/>
      <c r="K145"/>
      <c r="L145"/>
      <c r="M145"/>
      <c r="N145"/>
    </row>
    <row r="146" spans="1:14" ht="12.95" customHeight="1" x14ac:dyDescent="0.2">
      <c r="B146" s="239"/>
    </row>
    <row r="147" spans="1:14" ht="12.95" customHeight="1" x14ac:dyDescent="0.2">
      <c r="B147" s="239"/>
    </row>
    <row r="148" spans="1:14" ht="12.95" customHeight="1" x14ac:dyDescent="0.2">
      <c r="B148" s="239"/>
    </row>
    <row r="149" spans="1:14" ht="12.95" customHeight="1" x14ac:dyDescent="0.2">
      <c r="B149" s="239"/>
    </row>
    <row r="150" spans="1:14" ht="12.95" customHeight="1" x14ac:dyDescent="0.2">
      <c r="B150" s="239"/>
    </row>
    <row r="151" spans="1:14" ht="12.95" customHeight="1" x14ac:dyDescent="0.2">
      <c r="B151" s="239"/>
    </row>
    <row r="152" spans="1:14" ht="12.95" customHeight="1" x14ac:dyDescent="0.2">
      <c r="B152" s="239"/>
    </row>
    <row r="153" spans="1:14" ht="12.95" customHeight="1" x14ac:dyDescent="0.2">
      <c r="B153" s="239"/>
    </row>
    <row r="154" spans="1:14" ht="12.95" customHeight="1" x14ac:dyDescent="0.2">
      <c r="B154" s="239"/>
    </row>
    <row r="155" spans="1:14" ht="12.95" customHeight="1" x14ac:dyDescent="0.2">
      <c r="B155" s="239"/>
    </row>
    <row r="156" spans="1:14" ht="12.95" customHeight="1" x14ac:dyDescent="0.2">
      <c r="B156" s="239"/>
    </row>
    <row r="157" spans="1:14" ht="12.95" customHeight="1" x14ac:dyDescent="0.2">
      <c r="B157" s="239"/>
    </row>
    <row r="158" spans="1:14" ht="12.95" customHeight="1" x14ac:dyDescent="0.2">
      <c r="B158" s="239"/>
    </row>
    <row r="159" spans="1:14" ht="12.95" customHeight="1" x14ac:dyDescent="0.2">
      <c r="B159" s="239"/>
    </row>
    <row r="160" spans="1:14" ht="12.95" customHeight="1" x14ac:dyDescent="0.2">
      <c r="B160" s="239"/>
    </row>
    <row r="161" spans="1:2" ht="12.95" customHeight="1" x14ac:dyDescent="0.2">
      <c r="B161" s="239"/>
    </row>
    <row r="162" spans="1:2" ht="12.95" customHeight="1" x14ac:dyDescent="0.2">
      <c r="B162" s="239"/>
    </row>
    <row r="163" spans="1:2" ht="12.95" customHeight="1" x14ac:dyDescent="0.2">
      <c r="B163" s="239"/>
    </row>
    <row r="164" spans="1:2" ht="12.95" customHeight="1" x14ac:dyDescent="0.2">
      <c r="B164" s="239"/>
    </row>
    <row r="165" spans="1:2" ht="12.95" customHeight="1" x14ac:dyDescent="0.2">
      <c r="B165" s="239"/>
    </row>
    <row r="166" spans="1:2" ht="12.95" customHeight="1" x14ac:dyDescent="0.2">
      <c r="B166" s="239"/>
    </row>
    <row r="167" spans="1:2" ht="12.95" customHeight="1" x14ac:dyDescent="0.2">
      <c r="B167" s="239"/>
    </row>
    <row r="168" spans="1:2" ht="12.95" customHeight="1" x14ac:dyDescent="0.2">
      <c r="B168" s="239"/>
    </row>
    <row r="169" spans="1:2" ht="12.95" customHeight="1" x14ac:dyDescent="0.2">
      <c r="B169" s="239"/>
    </row>
    <row r="170" spans="1:2" ht="12.95" customHeight="1" x14ac:dyDescent="0.2">
      <c r="B170" s="239"/>
    </row>
    <row r="171" spans="1:2" ht="12.95" customHeight="1" x14ac:dyDescent="0.2">
      <c r="B171" s="239"/>
    </row>
    <row r="172" spans="1:2" ht="12.95" customHeight="1" x14ac:dyDescent="0.2">
      <c r="B172" s="239"/>
    </row>
    <row r="173" spans="1:2" ht="12.95" customHeight="1" x14ac:dyDescent="0.2">
      <c r="B173" s="239"/>
    </row>
    <row r="174" spans="1:2" ht="12.95" customHeight="1" x14ac:dyDescent="0.2">
      <c r="B174" s="239"/>
    </row>
    <row r="175" spans="1:2" ht="12.95" customHeight="1" x14ac:dyDescent="0.2">
      <c r="A175" s="125"/>
      <c r="B175" s="239"/>
    </row>
    <row r="176" spans="1:2" ht="12.95" customHeight="1" x14ac:dyDescent="0.2">
      <c r="A176" s="125"/>
      <c r="B176" s="239"/>
    </row>
    <row r="177" spans="2:2" ht="12.95" customHeight="1" x14ac:dyDescent="0.2">
      <c r="B177" s="239"/>
    </row>
    <row r="178" spans="2:2" ht="12.95" customHeight="1" x14ac:dyDescent="0.2">
      <c r="B178" s="239"/>
    </row>
    <row r="179" spans="2:2" ht="12.95" customHeight="1" x14ac:dyDescent="0.2">
      <c r="B179" s="239"/>
    </row>
    <row r="180" spans="2:2" ht="12.95" customHeight="1" x14ac:dyDescent="0.2">
      <c r="B180" s="239"/>
    </row>
    <row r="181" spans="2:2" ht="12.95" customHeight="1" x14ac:dyDescent="0.2">
      <c r="B181" s="239"/>
    </row>
    <row r="182" spans="2:2" ht="12.95" customHeight="1" x14ac:dyDescent="0.2">
      <c r="B182" s="239"/>
    </row>
    <row r="183" spans="2:2" ht="12.95" customHeight="1" x14ac:dyDescent="0.2">
      <c r="B183" s="239"/>
    </row>
    <row r="184" spans="2:2" ht="12.95" customHeight="1" x14ac:dyDescent="0.2">
      <c r="B184" s="239"/>
    </row>
    <row r="185" spans="2:2" ht="12.95" customHeight="1" x14ac:dyDescent="0.2">
      <c r="B185" s="239"/>
    </row>
    <row r="186" spans="2:2" ht="12.95" customHeight="1" x14ac:dyDescent="0.2">
      <c r="B186" s="239"/>
    </row>
    <row r="187" spans="2:2" ht="12.95" customHeight="1" x14ac:dyDescent="0.2">
      <c r="B187" s="239"/>
    </row>
    <row r="188" spans="2:2" ht="12.95" customHeight="1" x14ac:dyDescent="0.2">
      <c r="B188" s="239"/>
    </row>
    <row r="189" spans="2:2" ht="12.95" customHeight="1" x14ac:dyDescent="0.2">
      <c r="B189" s="239"/>
    </row>
    <row r="190" spans="2:2" ht="12.95" customHeight="1" x14ac:dyDescent="0.2">
      <c r="B190" s="239"/>
    </row>
    <row r="191" spans="2:2" ht="12.95" customHeight="1" x14ac:dyDescent="0.2">
      <c r="B191" s="239"/>
    </row>
    <row r="192" spans="2:2" ht="12.95" customHeight="1" x14ac:dyDescent="0.2">
      <c r="B192" s="239"/>
    </row>
    <row r="193" spans="2:2" ht="12.95" customHeight="1" x14ac:dyDescent="0.2">
      <c r="B193" s="239"/>
    </row>
    <row r="194" spans="2:2" ht="12.95" customHeight="1" x14ac:dyDescent="0.2">
      <c r="B194" s="239"/>
    </row>
    <row r="195" spans="2:2" ht="14.25" x14ac:dyDescent="0.2">
      <c r="B195" s="239"/>
    </row>
    <row r="196" spans="2:2" ht="14.25" x14ac:dyDescent="0.2">
      <c r="B196" s="239"/>
    </row>
    <row r="197" spans="2:2" ht="14.25" x14ac:dyDescent="0.2">
      <c r="B197" s="239"/>
    </row>
    <row r="198" spans="2:2" ht="14.25" x14ac:dyDescent="0.2">
      <c r="B198" s="239"/>
    </row>
    <row r="199" spans="2:2" ht="14.25" x14ac:dyDescent="0.2">
      <c r="B199" s="239"/>
    </row>
    <row r="200" spans="2:2" ht="14.25" x14ac:dyDescent="0.2">
      <c r="B200" s="239"/>
    </row>
    <row r="201" spans="2:2" ht="14.25" x14ac:dyDescent="0.2">
      <c r="B201" s="239"/>
    </row>
    <row r="202" spans="2:2" ht="14.25" x14ac:dyDescent="0.2">
      <c r="B202" s="239"/>
    </row>
    <row r="203" spans="2:2" ht="14.25" x14ac:dyDescent="0.2">
      <c r="B203" s="239"/>
    </row>
    <row r="204" spans="2:2" ht="14.25" x14ac:dyDescent="0.2">
      <c r="B204" s="239"/>
    </row>
    <row r="205" spans="2:2" ht="14.25" x14ac:dyDescent="0.2">
      <c r="B205" s="239"/>
    </row>
    <row r="206" spans="2:2" ht="14.25" x14ac:dyDescent="0.2">
      <c r="B206" s="239"/>
    </row>
    <row r="207" spans="2:2" ht="14.25" x14ac:dyDescent="0.2">
      <c r="B207" s="239"/>
    </row>
    <row r="208" spans="2:2" ht="14.25" x14ac:dyDescent="0.2">
      <c r="B208" s="239"/>
    </row>
    <row r="209" spans="2:2" ht="14.25" x14ac:dyDescent="0.2">
      <c r="B209" s="239"/>
    </row>
  </sheetData>
  <mergeCells count="19">
    <mergeCell ref="L58:N69"/>
    <mergeCell ref="B28:B29"/>
    <mergeCell ref="B26:B27"/>
    <mergeCell ref="B22:B23"/>
    <mergeCell ref="B68:B69"/>
    <mergeCell ref="B60:B61"/>
    <mergeCell ref="B51:B52"/>
    <mergeCell ref="B44:B45"/>
    <mergeCell ref="B37:B38"/>
    <mergeCell ref="B33:B34"/>
    <mergeCell ref="D19:F21"/>
    <mergeCell ref="D22:F28"/>
    <mergeCell ref="B13:B15"/>
    <mergeCell ref="B5:B6"/>
    <mergeCell ref="B9:B10"/>
    <mergeCell ref="B18:B19"/>
    <mergeCell ref="D6:F10"/>
    <mergeCell ref="E11:F11"/>
    <mergeCell ref="E12:F12"/>
  </mergeCells>
  <pageMargins left="0.7" right="0.7" top="0.78740157499999996" bottom="0.78740157499999996" header="0.3" footer="0.3"/>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18"/>
  <sheetViews>
    <sheetView workbookViewId="0">
      <pane ySplit="1" topLeftCell="A2" activePane="bottomLeft" state="frozen"/>
      <selection pane="bottomLeft" activeCell="E25" sqref="E25"/>
    </sheetView>
  </sheetViews>
  <sheetFormatPr baseColWidth="10" defaultRowHeight="12.75" x14ac:dyDescent="0.2"/>
  <cols>
    <col min="1" max="1" width="37.85546875" bestFit="1" customWidth="1"/>
    <col min="2" max="2" width="11.5703125" style="152"/>
    <col min="4" max="4" width="9.28515625" customWidth="1"/>
    <col min="5" max="5" width="22.28515625" customWidth="1"/>
    <col min="6" max="6" width="14.85546875" style="152" customWidth="1"/>
    <col min="7" max="8" width="14.7109375" style="152" customWidth="1"/>
  </cols>
  <sheetData>
    <row r="1" spans="1:12" ht="12.95" customHeight="1" x14ac:dyDescent="0.2">
      <c r="A1" s="159" t="s">
        <v>164</v>
      </c>
      <c r="B1" s="151" t="s">
        <v>119</v>
      </c>
      <c r="D1" s="413" t="s">
        <v>120</v>
      </c>
      <c r="G1" s="154"/>
      <c r="H1" s="410" t="s">
        <v>120</v>
      </c>
      <c r="J1" s="61" t="s">
        <v>0</v>
      </c>
      <c r="K1" s="61" t="s">
        <v>116</v>
      </c>
      <c r="L1" s="61" t="s">
        <v>119</v>
      </c>
    </row>
    <row r="2" spans="1:12" ht="12.95" customHeight="1" x14ac:dyDescent="0.2">
      <c r="B2" s="160" t="s">
        <v>116</v>
      </c>
      <c r="D2" s="414"/>
      <c r="G2" s="155"/>
      <c r="H2" s="411"/>
      <c r="J2" s="161">
        <v>43858</v>
      </c>
      <c r="K2" s="101">
        <v>1</v>
      </c>
      <c r="L2" s="178">
        <v>0</v>
      </c>
    </row>
    <row r="3" spans="1:12" ht="12.95" customHeight="1" x14ac:dyDescent="0.2">
      <c r="B3" s="160" t="s">
        <v>119</v>
      </c>
      <c r="D3" s="415"/>
      <c r="G3" s="156"/>
      <c r="H3" s="412"/>
      <c r="J3" s="161">
        <v>43859</v>
      </c>
      <c r="K3" s="101">
        <v>3</v>
      </c>
      <c r="L3" s="178">
        <v>0</v>
      </c>
    </row>
    <row r="4" spans="1:12" x14ac:dyDescent="0.2">
      <c r="J4" s="161">
        <v>37286</v>
      </c>
      <c r="K4" s="101">
        <v>0</v>
      </c>
      <c r="L4" s="178">
        <v>0</v>
      </c>
    </row>
    <row r="5" spans="1:12" x14ac:dyDescent="0.2">
      <c r="D5" s="90"/>
      <c r="J5" s="161">
        <v>43861</v>
      </c>
      <c r="K5" s="101">
        <v>1</v>
      </c>
      <c r="L5" s="178">
        <v>0</v>
      </c>
    </row>
    <row r="6" spans="1:12" x14ac:dyDescent="0.2">
      <c r="A6" s="151" t="s">
        <v>107</v>
      </c>
      <c r="J6" s="161">
        <v>43862</v>
      </c>
      <c r="K6" s="101">
        <v>2</v>
      </c>
      <c r="L6" s="178">
        <v>0</v>
      </c>
    </row>
    <row r="7" spans="1:12" x14ac:dyDescent="0.2">
      <c r="A7" s="59" t="s">
        <v>106</v>
      </c>
      <c r="B7" s="152">
        <v>4</v>
      </c>
      <c r="C7" s="59" t="s">
        <v>109</v>
      </c>
      <c r="D7">
        <v>1</v>
      </c>
      <c r="E7" s="151" t="s">
        <v>118</v>
      </c>
      <c r="F7" s="157" t="s">
        <v>111</v>
      </c>
      <c r="G7" s="157" t="s">
        <v>116</v>
      </c>
      <c r="H7" s="157" t="s">
        <v>119</v>
      </c>
      <c r="J7" s="161">
        <v>43863</v>
      </c>
      <c r="K7" s="101">
        <v>1</v>
      </c>
      <c r="L7" s="178">
        <v>0</v>
      </c>
    </row>
    <row r="8" spans="1:12" x14ac:dyDescent="0.2">
      <c r="A8" s="59" t="s">
        <v>108</v>
      </c>
      <c r="B8" s="152">
        <v>7</v>
      </c>
      <c r="C8" s="59" t="s">
        <v>110</v>
      </c>
      <c r="D8">
        <v>2</v>
      </c>
      <c r="E8" t="s">
        <v>117</v>
      </c>
      <c r="F8" s="158">
        <f t="shared" ref="F8:F18" si="0">HLOOKUP($B$1,$G$7:$H$31,D8,FALSE)</f>
        <v>8544527</v>
      </c>
      <c r="G8" s="158">
        <v>83020000</v>
      </c>
      <c r="H8" s="158">
        <v>8544527</v>
      </c>
      <c r="J8" s="161">
        <v>43864</v>
      </c>
      <c r="K8" s="101">
        <v>1</v>
      </c>
      <c r="L8" s="178">
        <v>0</v>
      </c>
    </row>
    <row r="9" spans="1:12" x14ac:dyDescent="0.2">
      <c r="D9">
        <v>3</v>
      </c>
      <c r="E9" t="s">
        <v>124</v>
      </c>
      <c r="F9" s="158" t="str">
        <f t="shared" si="0"/>
        <v>Spital</v>
      </c>
      <c r="G9" s="152" t="s">
        <v>125</v>
      </c>
      <c r="H9" s="152" t="s">
        <v>126</v>
      </c>
      <c r="J9" s="161">
        <v>43865</v>
      </c>
      <c r="K9" s="101">
        <v>2</v>
      </c>
      <c r="L9" s="178">
        <v>0</v>
      </c>
    </row>
    <row r="10" spans="1:12" x14ac:dyDescent="0.2">
      <c r="D10">
        <v>4</v>
      </c>
      <c r="E10" t="s">
        <v>127</v>
      </c>
      <c r="F10" s="158" t="str">
        <f t="shared" si="0"/>
        <v>Spitäler</v>
      </c>
      <c r="G10" s="152" t="s">
        <v>128</v>
      </c>
      <c r="H10" s="152" t="s">
        <v>129</v>
      </c>
      <c r="J10" s="161">
        <v>43866</v>
      </c>
      <c r="K10" s="101">
        <v>0</v>
      </c>
      <c r="L10" s="178">
        <v>0</v>
      </c>
    </row>
    <row r="11" spans="1:12" x14ac:dyDescent="0.2">
      <c r="D11">
        <v>5</v>
      </c>
      <c r="E11" t="s">
        <v>130</v>
      </c>
      <c r="F11" s="158" t="str">
        <f t="shared" si="0"/>
        <v>Spitälern</v>
      </c>
      <c r="G11" s="152" t="s">
        <v>131</v>
      </c>
      <c r="H11" s="152" t="s">
        <v>132</v>
      </c>
      <c r="J11" s="161">
        <v>43867</v>
      </c>
      <c r="K11" s="101">
        <v>0</v>
      </c>
      <c r="L11" s="178">
        <v>0</v>
      </c>
    </row>
    <row r="12" spans="1:12" x14ac:dyDescent="0.2">
      <c r="D12">
        <v>6</v>
      </c>
      <c r="E12" s="59" t="s">
        <v>165</v>
      </c>
      <c r="F12" s="152" t="str">
        <f t="shared" si="0"/>
        <v>Schweizweit</v>
      </c>
      <c r="G12" s="152" t="s">
        <v>149</v>
      </c>
      <c r="H12" s="152" t="s">
        <v>150</v>
      </c>
      <c r="J12" s="161">
        <v>43868</v>
      </c>
      <c r="K12" s="101">
        <v>1</v>
      </c>
      <c r="L12" s="178">
        <v>0</v>
      </c>
    </row>
    <row r="13" spans="1:12" x14ac:dyDescent="0.2">
      <c r="D13">
        <v>7</v>
      </c>
      <c r="E13" s="59" t="s">
        <v>166</v>
      </c>
      <c r="F13" s="152" t="str">
        <f t="shared" si="0"/>
        <v>schweizweite</v>
      </c>
      <c r="G13" s="152" t="s">
        <v>133</v>
      </c>
      <c r="H13" s="152" t="s">
        <v>134</v>
      </c>
      <c r="J13" s="161">
        <v>43869</v>
      </c>
      <c r="K13" s="101">
        <v>1</v>
      </c>
      <c r="L13" s="178">
        <v>0</v>
      </c>
    </row>
    <row r="14" spans="1:12" x14ac:dyDescent="0.2">
      <c r="D14">
        <v>8</v>
      </c>
      <c r="E14" s="59" t="s">
        <v>167</v>
      </c>
      <c r="F14" s="152" t="str">
        <f t="shared" si="0"/>
        <v>schweizweiten</v>
      </c>
      <c r="G14" s="152" t="s">
        <v>135</v>
      </c>
      <c r="H14" s="152" t="s">
        <v>136</v>
      </c>
      <c r="J14" s="161">
        <v>43870</v>
      </c>
      <c r="K14" s="101">
        <v>0</v>
      </c>
      <c r="L14" s="178">
        <v>0</v>
      </c>
    </row>
    <row r="15" spans="1:12" x14ac:dyDescent="0.2">
      <c r="D15">
        <v>9</v>
      </c>
      <c r="E15" t="s">
        <v>151</v>
      </c>
      <c r="F15" s="152" t="str">
        <f t="shared" si="0"/>
        <v>ECDC schweizweit</v>
      </c>
      <c r="G15" s="152" t="s">
        <v>152</v>
      </c>
      <c r="H15" s="152" t="s">
        <v>153</v>
      </c>
      <c r="J15" s="161">
        <v>43871</v>
      </c>
      <c r="K15" s="101">
        <v>0</v>
      </c>
      <c r="L15" s="178">
        <v>0</v>
      </c>
    </row>
    <row r="16" spans="1:12" x14ac:dyDescent="0.2">
      <c r="D16">
        <v>10</v>
      </c>
      <c r="E16" t="s">
        <v>169</v>
      </c>
      <c r="F16" s="152" t="str">
        <f t="shared" si="0"/>
        <v>der Schweiz</v>
      </c>
      <c r="G16" s="152" t="s">
        <v>116</v>
      </c>
      <c r="H16" s="152" t="s">
        <v>170</v>
      </c>
      <c r="J16" s="161">
        <v>43872</v>
      </c>
      <c r="K16" s="101">
        <v>0</v>
      </c>
      <c r="L16" s="178">
        <v>0</v>
      </c>
    </row>
    <row r="17" spans="4:12" x14ac:dyDescent="0.2">
      <c r="D17">
        <v>11</v>
      </c>
      <c r="E17" t="s">
        <v>171</v>
      </c>
      <c r="F17" s="152" t="str">
        <f t="shared" si="0"/>
        <v>Schweizer</v>
      </c>
      <c r="G17" s="152" t="s">
        <v>172</v>
      </c>
      <c r="H17" s="152" t="s">
        <v>173</v>
      </c>
      <c r="J17" s="161">
        <v>43873</v>
      </c>
      <c r="K17" s="101">
        <v>2</v>
      </c>
      <c r="L17" s="178">
        <v>0</v>
      </c>
    </row>
    <row r="18" spans="4:12" x14ac:dyDescent="0.2">
      <c r="D18">
        <v>12</v>
      </c>
      <c r="E18" s="59" t="s">
        <v>285</v>
      </c>
      <c r="F18" s="152" t="str">
        <f t="shared" si="0"/>
        <v>BAG Schweiz</v>
      </c>
      <c r="G18" s="249" t="s">
        <v>286</v>
      </c>
      <c r="H18" s="249" t="s">
        <v>287</v>
      </c>
      <c r="J18" s="161">
        <v>43874</v>
      </c>
      <c r="K18" s="101">
        <v>0</v>
      </c>
      <c r="L18" s="178">
        <v>0</v>
      </c>
    </row>
    <row r="19" spans="4:12" x14ac:dyDescent="0.2">
      <c r="J19" s="161">
        <v>43875</v>
      </c>
      <c r="K19" s="101">
        <v>0</v>
      </c>
      <c r="L19" s="178">
        <v>0</v>
      </c>
    </row>
    <row r="20" spans="4:12" x14ac:dyDescent="0.2">
      <c r="J20" s="161">
        <v>43876</v>
      </c>
      <c r="K20" s="101">
        <v>0</v>
      </c>
      <c r="L20" s="178">
        <v>0</v>
      </c>
    </row>
    <row r="21" spans="4:12" x14ac:dyDescent="0.2">
      <c r="J21" s="161">
        <v>43877</v>
      </c>
      <c r="K21" s="101">
        <v>0</v>
      </c>
      <c r="L21" s="178">
        <v>0</v>
      </c>
    </row>
    <row r="22" spans="4:12" x14ac:dyDescent="0.2">
      <c r="J22" s="161">
        <v>43878</v>
      </c>
      <c r="K22" s="101">
        <v>0</v>
      </c>
      <c r="L22" s="178">
        <v>0</v>
      </c>
    </row>
    <row r="23" spans="4:12" x14ac:dyDescent="0.2">
      <c r="J23" s="161">
        <v>43879</v>
      </c>
      <c r="K23" s="101">
        <v>0</v>
      </c>
      <c r="L23" s="178">
        <v>0</v>
      </c>
    </row>
    <row r="24" spans="4:12" x14ac:dyDescent="0.2">
      <c r="J24" s="161">
        <v>43880</v>
      </c>
      <c r="K24" s="101">
        <v>0</v>
      </c>
      <c r="L24" s="178">
        <v>0</v>
      </c>
    </row>
    <row r="25" spans="4:12" x14ac:dyDescent="0.2">
      <c r="J25" s="161">
        <v>43881</v>
      </c>
      <c r="K25" s="101">
        <v>0</v>
      </c>
      <c r="L25" s="178">
        <v>0</v>
      </c>
    </row>
    <row r="26" spans="4:12" x14ac:dyDescent="0.2">
      <c r="J26" s="161">
        <v>43882</v>
      </c>
      <c r="K26" s="101">
        <v>0</v>
      </c>
      <c r="L26" s="178">
        <v>0</v>
      </c>
    </row>
    <row r="27" spans="4:12" x14ac:dyDescent="0.2">
      <c r="J27" s="161">
        <v>43883</v>
      </c>
      <c r="K27" s="101">
        <v>0</v>
      </c>
      <c r="L27" s="178">
        <v>0</v>
      </c>
    </row>
    <row r="28" spans="4:12" x14ac:dyDescent="0.2">
      <c r="J28" s="161">
        <v>43884</v>
      </c>
      <c r="K28" s="101">
        <v>0</v>
      </c>
      <c r="L28" s="178">
        <v>0</v>
      </c>
    </row>
    <row r="29" spans="4:12" x14ac:dyDescent="0.2">
      <c r="J29" s="161">
        <v>43885</v>
      </c>
      <c r="K29" s="101">
        <v>0</v>
      </c>
      <c r="L29" s="178">
        <v>0</v>
      </c>
    </row>
    <row r="30" spans="4:12" x14ac:dyDescent="0.2">
      <c r="J30" s="161">
        <v>43886</v>
      </c>
      <c r="K30" s="101">
        <v>0</v>
      </c>
      <c r="L30" s="178">
        <v>0</v>
      </c>
    </row>
    <row r="31" spans="4:12" x14ac:dyDescent="0.2">
      <c r="J31" s="161">
        <v>43887</v>
      </c>
      <c r="K31" s="101">
        <v>2</v>
      </c>
      <c r="L31" s="178">
        <v>1</v>
      </c>
    </row>
    <row r="32" spans="4:12" x14ac:dyDescent="0.2">
      <c r="J32" s="161">
        <v>43888</v>
      </c>
      <c r="K32" s="101">
        <v>4</v>
      </c>
      <c r="L32" s="178">
        <v>0</v>
      </c>
    </row>
    <row r="33" spans="10:12" x14ac:dyDescent="0.2">
      <c r="J33" s="161">
        <v>43889</v>
      </c>
      <c r="K33" s="101">
        <v>26</v>
      </c>
      <c r="L33" s="178">
        <v>7</v>
      </c>
    </row>
    <row r="34" spans="10:12" x14ac:dyDescent="0.2">
      <c r="J34" s="161">
        <v>43890</v>
      </c>
      <c r="K34" s="101">
        <v>10</v>
      </c>
      <c r="L34" s="178">
        <v>4</v>
      </c>
    </row>
    <row r="35" spans="10:12" x14ac:dyDescent="0.2">
      <c r="J35" s="161">
        <v>43891</v>
      </c>
      <c r="K35" s="101">
        <v>54</v>
      </c>
      <c r="L35" s="178">
        <v>6</v>
      </c>
    </row>
    <row r="36" spans="10:12" x14ac:dyDescent="0.2">
      <c r="J36" s="161">
        <v>43892</v>
      </c>
      <c r="K36" s="101">
        <v>18</v>
      </c>
      <c r="L36" s="178">
        <v>6</v>
      </c>
    </row>
    <row r="37" spans="10:12" x14ac:dyDescent="0.2">
      <c r="J37" s="161">
        <v>43893</v>
      </c>
      <c r="K37" s="101">
        <v>28</v>
      </c>
      <c r="L37" s="178">
        <v>6</v>
      </c>
    </row>
    <row r="38" spans="10:12" x14ac:dyDescent="0.2">
      <c r="J38" s="161">
        <v>43894</v>
      </c>
      <c r="K38" s="101">
        <v>39</v>
      </c>
      <c r="L38" s="178">
        <v>7</v>
      </c>
    </row>
    <row r="39" spans="10:12" x14ac:dyDescent="0.2">
      <c r="J39" s="161">
        <v>43895</v>
      </c>
      <c r="K39" s="101">
        <v>66</v>
      </c>
      <c r="L39" s="178">
        <v>20</v>
      </c>
    </row>
    <row r="40" spans="10:12" x14ac:dyDescent="0.2">
      <c r="J40" s="161">
        <v>43896</v>
      </c>
      <c r="K40" s="101">
        <v>138</v>
      </c>
      <c r="L40" s="178">
        <v>30</v>
      </c>
    </row>
    <row r="41" spans="10:12" x14ac:dyDescent="0.2">
      <c r="J41" s="161">
        <v>43897</v>
      </c>
      <c r="K41" s="101">
        <v>284</v>
      </c>
      <c r="L41" s="178">
        <v>122</v>
      </c>
    </row>
    <row r="42" spans="10:12" x14ac:dyDescent="0.2">
      <c r="J42" s="161">
        <v>43898</v>
      </c>
      <c r="K42" s="101">
        <v>163</v>
      </c>
      <c r="L42" s="178">
        <v>55</v>
      </c>
    </row>
    <row r="43" spans="10:12" x14ac:dyDescent="0.2">
      <c r="J43" s="161">
        <v>43899</v>
      </c>
      <c r="K43" s="101">
        <v>55</v>
      </c>
      <c r="L43" s="178">
        <v>68</v>
      </c>
    </row>
    <row r="44" spans="10:12" x14ac:dyDescent="0.2">
      <c r="J44" s="161">
        <v>43900</v>
      </c>
      <c r="K44" s="101">
        <v>237</v>
      </c>
      <c r="L44" s="178">
        <v>42</v>
      </c>
    </row>
    <row r="45" spans="10:12" x14ac:dyDescent="0.2">
      <c r="J45" s="161">
        <v>43901</v>
      </c>
      <c r="K45" s="101">
        <v>157</v>
      </c>
      <c r="L45" s="178">
        <v>116</v>
      </c>
    </row>
    <row r="46" spans="10:12" x14ac:dyDescent="0.2">
      <c r="J46" s="161">
        <v>43902</v>
      </c>
      <c r="K46" s="101">
        <v>271</v>
      </c>
      <c r="L46" s="178">
        <v>152</v>
      </c>
    </row>
    <row r="47" spans="10:12" x14ac:dyDescent="0.2">
      <c r="J47" s="161">
        <v>43903</v>
      </c>
      <c r="K47" s="101">
        <v>802</v>
      </c>
      <c r="L47" s="178">
        <v>212</v>
      </c>
    </row>
    <row r="48" spans="10:12" x14ac:dyDescent="0.2">
      <c r="J48" s="161">
        <v>43904</v>
      </c>
      <c r="K48" s="101">
        <v>693</v>
      </c>
      <c r="L48" s="178">
        <v>267</v>
      </c>
    </row>
    <row r="49" spans="10:12" x14ac:dyDescent="0.2">
      <c r="J49" s="161">
        <v>43905</v>
      </c>
      <c r="K49" s="101">
        <v>733</v>
      </c>
      <c r="L49" s="178">
        <v>238</v>
      </c>
    </row>
    <row r="50" spans="10:12" x14ac:dyDescent="0.2">
      <c r="J50" s="161">
        <v>43906</v>
      </c>
      <c r="K50" s="101">
        <v>1043</v>
      </c>
      <c r="L50" s="178">
        <v>841</v>
      </c>
    </row>
    <row r="51" spans="10:12" x14ac:dyDescent="0.2">
      <c r="J51" s="161">
        <v>43907</v>
      </c>
      <c r="K51" s="101">
        <v>1174</v>
      </c>
      <c r="L51" s="178">
        <v>0</v>
      </c>
    </row>
    <row r="52" spans="10:12" x14ac:dyDescent="0.2">
      <c r="J52" s="161">
        <v>43908</v>
      </c>
      <c r="K52" s="101">
        <v>1144</v>
      </c>
      <c r="L52" s="178">
        <v>450</v>
      </c>
    </row>
    <row r="53" spans="10:12" x14ac:dyDescent="0.2">
      <c r="J53" s="86">
        <v>43909</v>
      </c>
      <c r="K53" s="101">
        <v>1042</v>
      </c>
      <c r="L53" s="178">
        <v>360</v>
      </c>
    </row>
    <row r="54" spans="10:12" x14ac:dyDescent="0.2">
      <c r="J54" s="86">
        <v>43910</v>
      </c>
      <c r="K54" s="101">
        <v>5940</v>
      </c>
      <c r="L54" s="178">
        <v>878</v>
      </c>
    </row>
    <row r="55" spans="10:12" x14ac:dyDescent="0.2">
      <c r="J55" s="86">
        <v>43911</v>
      </c>
      <c r="K55" s="101">
        <v>4049</v>
      </c>
      <c r="L55" s="178">
        <v>952</v>
      </c>
    </row>
    <row r="56" spans="10:12" x14ac:dyDescent="0.2">
      <c r="J56" s="86">
        <v>43912</v>
      </c>
      <c r="K56" s="101">
        <v>3276</v>
      </c>
      <c r="L56" s="178">
        <v>1237</v>
      </c>
    </row>
    <row r="57" spans="10:12" x14ac:dyDescent="0.2">
      <c r="J57" s="86">
        <v>43913</v>
      </c>
      <c r="K57" s="101">
        <v>3311</v>
      </c>
      <c r="L57" s="178">
        <v>894</v>
      </c>
    </row>
    <row r="58" spans="10:12" x14ac:dyDescent="0.2">
      <c r="J58" s="86">
        <v>43914</v>
      </c>
      <c r="K58" s="101">
        <v>4438</v>
      </c>
      <c r="L58" s="178">
        <v>1044</v>
      </c>
    </row>
    <row r="59" spans="10:12" x14ac:dyDescent="0.2">
      <c r="J59" s="86">
        <v>43915</v>
      </c>
      <c r="K59" s="101">
        <v>2342</v>
      </c>
      <c r="L59" s="178">
        <v>774</v>
      </c>
    </row>
    <row r="60" spans="10:12" x14ac:dyDescent="0.2">
      <c r="J60" s="86">
        <v>43916</v>
      </c>
      <c r="K60" s="101">
        <v>4954</v>
      </c>
      <c r="L60" s="178">
        <v>925</v>
      </c>
    </row>
    <row r="61" spans="10:12" x14ac:dyDescent="0.2">
      <c r="J61" s="86">
        <v>43917</v>
      </c>
      <c r="K61" s="101">
        <v>5780</v>
      </c>
      <c r="L61" s="178">
        <v>1000</v>
      </c>
    </row>
    <row r="62" spans="10:12" x14ac:dyDescent="0.2">
      <c r="J62" s="86">
        <v>43918</v>
      </c>
      <c r="K62" s="101">
        <v>6294</v>
      </c>
      <c r="L62" s="178">
        <v>1390</v>
      </c>
    </row>
    <row r="63" spans="10:12" x14ac:dyDescent="0.2">
      <c r="J63" s="86">
        <v>43919</v>
      </c>
      <c r="K63" s="101">
        <v>3965</v>
      </c>
      <c r="L63" s="178">
        <v>1048</v>
      </c>
    </row>
    <row r="64" spans="10:12" x14ac:dyDescent="0.2">
      <c r="J64" s="86">
        <v>43920</v>
      </c>
      <c r="K64" s="101">
        <v>4751</v>
      </c>
      <c r="L64" s="178">
        <v>1122</v>
      </c>
    </row>
    <row r="65" spans="10:12" x14ac:dyDescent="0.2">
      <c r="J65" s="86">
        <v>43921</v>
      </c>
      <c r="K65" s="101">
        <v>4615</v>
      </c>
      <c r="L65" s="178">
        <v>1138</v>
      </c>
    </row>
    <row r="66" spans="10:12" x14ac:dyDescent="0.2">
      <c r="J66" s="86">
        <v>43922</v>
      </c>
      <c r="K66" s="101">
        <v>5453</v>
      </c>
      <c r="L66" s="178">
        <v>696</v>
      </c>
    </row>
    <row r="67" spans="10:12" x14ac:dyDescent="0.2">
      <c r="J67" s="86">
        <v>43923</v>
      </c>
      <c r="K67" s="101">
        <v>6156</v>
      </c>
      <c r="L67" s="178">
        <v>962</v>
      </c>
    </row>
    <row r="68" spans="10:12" x14ac:dyDescent="0.2">
      <c r="J68" s="86">
        <v>43924</v>
      </c>
      <c r="K68" s="101">
        <v>6174</v>
      </c>
      <c r="L68" s="178">
        <v>1774</v>
      </c>
    </row>
    <row r="69" spans="10:12" x14ac:dyDescent="0.2">
      <c r="J69" s="86">
        <v>43925</v>
      </c>
      <c r="K69" s="101">
        <v>6082</v>
      </c>
      <c r="L69" s="178">
        <v>862</v>
      </c>
    </row>
    <row r="70" spans="10:12" x14ac:dyDescent="0.2">
      <c r="J70" s="86">
        <v>43926</v>
      </c>
      <c r="K70" s="101">
        <v>5936</v>
      </c>
      <c r="L70" s="178">
        <v>783</v>
      </c>
    </row>
    <row r="71" spans="10:12" x14ac:dyDescent="0.2">
      <c r="J71" s="86">
        <v>43927</v>
      </c>
      <c r="K71" s="101">
        <v>3677</v>
      </c>
      <c r="L71" s="178">
        <v>576</v>
      </c>
    </row>
    <row r="72" spans="10:12" x14ac:dyDescent="0.2">
      <c r="J72" s="86">
        <v>43928</v>
      </c>
      <c r="K72" s="101">
        <v>3834</v>
      </c>
      <c r="L72" s="178">
        <v>552</v>
      </c>
    </row>
    <row r="73" spans="10:12" x14ac:dyDescent="0.2">
      <c r="J73" s="86">
        <v>43929</v>
      </c>
      <c r="K73" s="101">
        <v>4003</v>
      </c>
      <c r="L73" s="178">
        <v>590</v>
      </c>
    </row>
    <row r="74" spans="10:12" x14ac:dyDescent="0.2">
      <c r="J74" s="86">
        <v>43930</v>
      </c>
      <c r="K74" s="101">
        <v>4974</v>
      </c>
      <c r="L74" s="178">
        <v>546</v>
      </c>
    </row>
    <row r="75" spans="10:12" x14ac:dyDescent="0.2">
      <c r="J75" s="86">
        <v>43931</v>
      </c>
      <c r="K75" s="101">
        <v>5323</v>
      </c>
      <c r="L75" s="178">
        <v>785</v>
      </c>
    </row>
    <row r="76" spans="10:12" x14ac:dyDescent="0.2">
      <c r="J76" s="86">
        <v>43932</v>
      </c>
      <c r="K76" s="101">
        <v>4133</v>
      </c>
      <c r="L76" s="101">
        <v>733</v>
      </c>
    </row>
    <row r="77" spans="10:12" x14ac:dyDescent="0.2">
      <c r="J77" s="86">
        <v>43933</v>
      </c>
      <c r="K77" s="101">
        <v>2821</v>
      </c>
      <c r="L77" s="101">
        <v>592</v>
      </c>
    </row>
    <row r="78" spans="10:12" x14ac:dyDescent="0.2">
      <c r="J78" s="86">
        <v>43934</v>
      </c>
      <c r="K78" s="101">
        <v>2537</v>
      </c>
      <c r="L78" s="101">
        <v>400</v>
      </c>
    </row>
    <row r="79" spans="10:12" x14ac:dyDescent="0.2">
      <c r="J79" s="86">
        <v>43935</v>
      </c>
      <c r="K79" s="101">
        <v>2082</v>
      </c>
      <c r="L79" s="101">
        <v>279</v>
      </c>
    </row>
    <row r="80" spans="10:12" x14ac:dyDescent="0.2">
      <c r="J80" s="86">
        <v>43936</v>
      </c>
      <c r="K80" s="101">
        <v>2486</v>
      </c>
      <c r="L80" s="101">
        <v>254</v>
      </c>
    </row>
    <row r="81" spans="10:12" x14ac:dyDescent="0.2">
      <c r="J81" s="86">
        <v>43937</v>
      </c>
      <c r="K81" s="101">
        <v>2866</v>
      </c>
      <c r="L81" s="101">
        <v>583</v>
      </c>
    </row>
    <row r="82" spans="10:12" x14ac:dyDescent="0.2">
      <c r="J82" s="86">
        <v>43938</v>
      </c>
      <c r="K82" s="101">
        <v>3380</v>
      </c>
      <c r="L82" s="101">
        <v>315</v>
      </c>
    </row>
    <row r="83" spans="10:12" x14ac:dyDescent="0.2">
      <c r="J83" s="86">
        <v>43939</v>
      </c>
      <c r="K83" s="101">
        <v>3609</v>
      </c>
      <c r="L83" s="101">
        <v>346</v>
      </c>
    </row>
    <row r="84" spans="10:12" x14ac:dyDescent="0.2">
      <c r="J84" s="86">
        <v>43940</v>
      </c>
      <c r="K84" s="101">
        <v>2458</v>
      </c>
      <c r="L84" s="101">
        <v>325</v>
      </c>
    </row>
    <row r="85" spans="10:12" x14ac:dyDescent="0.2">
      <c r="J85" s="86">
        <v>43941</v>
      </c>
      <c r="K85" s="101">
        <v>1775</v>
      </c>
      <c r="L85" s="101">
        <v>336</v>
      </c>
    </row>
    <row r="86" spans="10:12" x14ac:dyDescent="0.2">
      <c r="J86" s="86">
        <v>43942</v>
      </c>
      <c r="K86" s="101">
        <v>1785</v>
      </c>
      <c r="L86" s="101">
        <v>168</v>
      </c>
    </row>
    <row r="87" spans="10:12" x14ac:dyDescent="0.2">
      <c r="J87" s="86">
        <v>43943</v>
      </c>
      <c r="K87" s="101">
        <v>2237</v>
      </c>
      <c r="L87" s="101">
        <v>155</v>
      </c>
    </row>
    <row r="88" spans="10:12" x14ac:dyDescent="0.2">
      <c r="J88" s="86">
        <v>43944</v>
      </c>
      <c r="K88" s="101">
        <v>2352</v>
      </c>
      <c r="L88" s="101">
        <v>205</v>
      </c>
    </row>
    <row r="89" spans="10:12" x14ac:dyDescent="0.2">
      <c r="J89" s="86">
        <v>43945</v>
      </c>
      <c r="K89" s="101">
        <v>2337</v>
      </c>
      <c r="L89" s="101">
        <v>228</v>
      </c>
    </row>
    <row r="90" spans="10:12" x14ac:dyDescent="0.2">
      <c r="J90" s="86">
        <v>43946</v>
      </c>
      <c r="K90" s="101">
        <v>2055</v>
      </c>
      <c r="L90" s="101">
        <v>181</v>
      </c>
    </row>
    <row r="91" spans="10:12" x14ac:dyDescent="0.2">
      <c r="J91" s="86">
        <v>43947</v>
      </c>
      <c r="K91" s="101">
        <v>1737</v>
      </c>
      <c r="L91" s="178">
        <v>216</v>
      </c>
    </row>
    <row r="92" spans="10:12" x14ac:dyDescent="0.2">
      <c r="J92" s="86">
        <v>43948</v>
      </c>
      <c r="K92" s="101">
        <v>1018</v>
      </c>
      <c r="L92" s="178">
        <v>167</v>
      </c>
    </row>
    <row r="93" spans="10:12" x14ac:dyDescent="0.2">
      <c r="J93" s="86">
        <v>43949</v>
      </c>
      <c r="K93" s="101">
        <v>1144</v>
      </c>
      <c r="L93" s="101">
        <v>103</v>
      </c>
    </row>
    <row r="94" spans="10:12" x14ac:dyDescent="0.2">
      <c r="J94" s="86">
        <v>43950</v>
      </c>
      <c r="K94" s="101">
        <v>1304</v>
      </c>
      <c r="L94" s="101">
        <v>100</v>
      </c>
    </row>
    <row r="95" spans="10:12" x14ac:dyDescent="0.2">
      <c r="J95" s="86">
        <v>43951</v>
      </c>
      <c r="K95" s="101">
        <v>1478</v>
      </c>
      <c r="L95" s="101">
        <v>143</v>
      </c>
    </row>
    <row r="96" spans="10:12" x14ac:dyDescent="0.2">
      <c r="J96" s="86">
        <v>43952</v>
      </c>
      <c r="K96" s="101">
        <f>2584/2</f>
        <v>1292</v>
      </c>
      <c r="L96" s="101">
        <v>179</v>
      </c>
    </row>
    <row r="97" spans="10:12" x14ac:dyDescent="0.2">
      <c r="J97" s="86">
        <v>43953</v>
      </c>
      <c r="K97" s="101">
        <f>2584/2</f>
        <v>1292</v>
      </c>
      <c r="L97" s="101">
        <v>119</v>
      </c>
    </row>
    <row r="98" spans="10:12" x14ac:dyDescent="0.2">
      <c r="J98" s="86">
        <v>43954</v>
      </c>
      <c r="K98" s="101">
        <v>793</v>
      </c>
      <c r="L98" s="101">
        <v>112</v>
      </c>
    </row>
    <row r="99" spans="10:12" x14ac:dyDescent="0.2">
      <c r="J99" s="86">
        <v>43955</v>
      </c>
      <c r="K99" s="101">
        <v>679</v>
      </c>
      <c r="L99" s="101">
        <v>88</v>
      </c>
    </row>
    <row r="100" spans="10:12" x14ac:dyDescent="0.2">
      <c r="J100" s="86">
        <v>43956</v>
      </c>
      <c r="K100" s="101">
        <v>685</v>
      </c>
      <c r="L100" s="101">
        <v>76</v>
      </c>
    </row>
    <row r="101" spans="10:12" x14ac:dyDescent="0.2">
      <c r="J101" s="86">
        <v>43957</v>
      </c>
      <c r="K101" s="101">
        <v>1037</v>
      </c>
      <c r="L101" s="101">
        <v>28</v>
      </c>
    </row>
    <row r="102" spans="10:12" x14ac:dyDescent="0.2">
      <c r="J102" s="86">
        <v>43958</v>
      </c>
      <c r="K102" s="101">
        <v>1194</v>
      </c>
      <c r="L102" s="101">
        <v>51</v>
      </c>
    </row>
    <row r="103" spans="10:12" x14ac:dyDescent="0.2">
      <c r="J103" s="86">
        <v>43959</v>
      </c>
      <c r="K103" s="101">
        <v>1209</v>
      </c>
      <c r="L103" s="101">
        <v>66</v>
      </c>
    </row>
    <row r="104" spans="10:12" x14ac:dyDescent="0.2">
      <c r="J104" s="86">
        <v>43960</v>
      </c>
      <c r="K104" s="101">
        <v>1251</v>
      </c>
      <c r="L104" s="101">
        <v>81</v>
      </c>
    </row>
    <row r="105" spans="10:12" x14ac:dyDescent="0.2">
      <c r="J105" s="86">
        <v>43961</v>
      </c>
      <c r="K105" s="101">
        <v>667</v>
      </c>
      <c r="L105" s="101">
        <v>44</v>
      </c>
    </row>
    <row r="106" spans="10:12" x14ac:dyDescent="0.2">
      <c r="J106" s="86">
        <v>43962</v>
      </c>
      <c r="K106" s="101">
        <v>357</v>
      </c>
      <c r="L106" s="101">
        <v>54</v>
      </c>
    </row>
    <row r="107" spans="10:12" x14ac:dyDescent="0.2">
      <c r="J107" s="86">
        <v>43963</v>
      </c>
      <c r="K107" s="101">
        <v>933</v>
      </c>
      <c r="L107" s="101">
        <v>39</v>
      </c>
    </row>
    <row r="108" spans="10:12" x14ac:dyDescent="0.2">
      <c r="J108" s="86">
        <v>43964</v>
      </c>
      <c r="K108" s="101">
        <v>798</v>
      </c>
      <c r="L108" s="101">
        <v>36</v>
      </c>
    </row>
    <row r="109" spans="10:12" x14ac:dyDescent="0.2">
      <c r="J109" s="86">
        <v>43965</v>
      </c>
      <c r="K109" s="101">
        <v>933</v>
      </c>
      <c r="L109" s="101">
        <v>33</v>
      </c>
    </row>
    <row r="110" spans="10:12" x14ac:dyDescent="0.2">
      <c r="J110" s="86">
        <v>43966</v>
      </c>
      <c r="K110" s="101">
        <v>913</v>
      </c>
      <c r="L110" s="101">
        <v>50</v>
      </c>
    </row>
    <row r="111" spans="10:12" x14ac:dyDescent="0.2">
      <c r="J111" s="86">
        <v>43967</v>
      </c>
      <c r="K111" s="101">
        <v>620</v>
      </c>
      <c r="L111" s="178">
        <v>51</v>
      </c>
    </row>
    <row r="112" spans="10:12" x14ac:dyDescent="0.2">
      <c r="J112" s="86">
        <v>43968</v>
      </c>
      <c r="K112" s="178"/>
      <c r="L112" s="178"/>
    </row>
    <row r="113" spans="10:12" x14ac:dyDescent="0.2">
      <c r="J113" s="86">
        <v>43969</v>
      </c>
      <c r="K113" s="178"/>
      <c r="L113" s="178"/>
    </row>
    <row r="114" spans="10:12" x14ac:dyDescent="0.2">
      <c r="J114" s="86">
        <v>43970</v>
      </c>
      <c r="K114" s="178"/>
      <c r="L114" s="178"/>
    </row>
    <row r="115" spans="10:12" x14ac:dyDescent="0.2">
      <c r="J115" s="86">
        <v>43971</v>
      </c>
      <c r="K115" s="178"/>
      <c r="L115" s="178"/>
    </row>
    <row r="116" spans="10:12" x14ac:dyDescent="0.2">
      <c r="J116" s="86">
        <v>43972</v>
      </c>
      <c r="K116" s="178"/>
      <c r="L116" s="178"/>
    </row>
    <row r="117" spans="10:12" x14ac:dyDescent="0.2">
      <c r="J117" s="86">
        <v>43973</v>
      </c>
      <c r="K117" s="178"/>
      <c r="L117" s="178"/>
    </row>
    <row r="118" spans="10:12" x14ac:dyDescent="0.2">
      <c r="J118" s="86">
        <v>43974</v>
      </c>
      <c r="K118" s="178"/>
      <c r="L118" s="178"/>
    </row>
    <row r="119" spans="10:12" x14ac:dyDescent="0.2">
      <c r="J119" s="86">
        <v>43975</v>
      </c>
      <c r="K119" s="178"/>
      <c r="L119" s="178"/>
    </row>
    <row r="120" spans="10:12" x14ac:dyDescent="0.2">
      <c r="J120" s="86">
        <v>43976</v>
      </c>
      <c r="K120" s="178"/>
      <c r="L120" s="178"/>
    </row>
    <row r="121" spans="10:12" x14ac:dyDescent="0.2">
      <c r="J121" s="86">
        <v>43977</v>
      </c>
      <c r="K121" s="178"/>
      <c r="L121" s="178"/>
    </row>
    <row r="122" spans="10:12" x14ac:dyDescent="0.2">
      <c r="J122" s="86">
        <v>43978</v>
      </c>
      <c r="K122" s="178"/>
      <c r="L122" s="178"/>
    </row>
    <row r="123" spans="10:12" x14ac:dyDescent="0.2">
      <c r="J123" s="86">
        <v>43979</v>
      </c>
      <c r="K123" s="178"/>
      <c r="L123" s="178"/>
    </row>
    <row r="124" spans="10:12" x14ac:dyDescent="0.2">
      <c r="J124" s="86">
        <v>43980</v>
      </c>
      <c r="K124" s="178"/>
      <c r="L124" s="178"/>
    </row>
    <row r="125" spans="10:12" x14ac:dyDescent="0.2">
      <c r="J125" s="86">
        <v>43981</v>
      </c>
      <c r="K125" s="178"/>
      <c r="L125" s="178"/>
    </row>
    <row r="126" spans="10:12" x14ac:dyDescent="0.2">
      <c r="J126" s="86">
        <v>43982</v>
      </c>
      <c r="K126" s="178"/>
      <c r="L126" s="178"/>
    </row>
    <row r="127" spans="10:12" x14ac:dyDescent="0.2">
      <c r="J127" s="86">
        <v>43983</v>
      </c>
      <c r="K127" s="178"/>
      <c r="L127" s="178"/>
    </row>
    <row r="128" spans="10:12" x14ac:dyDescent="0.2">
      <c r="J128" s="86">
        <v>43984</v>
      </c>
      <c r="K128" s="178"/>
      <c r="L128" s="178"/>
    </row>
    <row r="129" spans="10:12" x14ac:dyDescent="0.2">
      <c r="J129" s="86">
        <v>43985</v>
      </c>
      <c r="K129" s="178"/>
      <c r="L129" s="178"/>
    </row>
    <row r="130" spans="10:12" x14ac:dyDescent="0.2">
      <c r="J130" s="86">
        <v>43986</v>
      </c>
      <c r="K130" s="178"/>
      <c r="L130" s="178"/>
    </row>
    <row r="131" spans="10:12" x14ac:dyDescent="0.2">
      <c r="J131" s="86">
        <v>43987</v>
      </c>
      <c r="K131" s="178"/>
      <c r="L131" s="178"/>
    </row>
    <row r="132" spans="10:12" x14ac:dyDescent="0.2">
      <c r="J132" s="86">
        <v>43988</v>
      </c>
      <c r="K132" s="178"/>
      <c r="L132" s="178"/>
    </row>
    <row r="133" spans="10:12" x14ac:dyDescent="0.2">
      <c r="J133" s="86">
        <v>43989</v>
      </c>
      <c r="K133" s="178"/>
      <c r="L133" s="178"/>
    </row>
    <row r="134" spans="10:12" x14ac:dyDescent="0.2">
      <c r="J134" s="86">
        <v>43990</v>
      </c>
      <c r="K134" s="178"/>
      <c r="L134" s="178"/>
    </row>
    <row r="135" spans="10:12" x14ac:dyDescent="0.2">
      <c r="J135" s="86">
        <v>43991</v>
      </c>
      <c r="K135" s="178"/>
      <c r="L135" s="178"/>
    </row>
    <row r="136" spans="10:12" x14ac:dyDescent="0.2">
      <c r="J136" s="86">
        <v>43992</v>
      </c>
      <c r="K136" s="178"/>
      <c r="L136" s="178"/>
    </row>
    <row r="137" spans="10:12" x14ac:dyDescent="0.2">
      <c r="J137" s="86">
        <v>43993</v>
      </c>
      <c r="K137" s="178"/>
      <c r="L137" s="178"/>
    </row>
    <row r="138" spans="10:12" x14ac:dyDescent="0.2">
      <c r="J138" s="86">
        <v>43994</v>
      </c>
      <c r="K138" s="178"/>
      <c r="L138" s="178"/>
    </row>
    <row r="139" spans="10:12" x14ac:dyDescent="0.2">
      <c r="J139" s="86">
        <v>43995</v>
      </c>
      <c r="K139" s="178"/>
      <c r="L139" s="178"/>
    </row>
    <row r="140" spans="10:12" x14ac:dyDescent="0.2">
      <c r="J140" s="86">
        <v>43996</v>
      </c>
      <c r="K140" s="178"/>
      <c r="L140" s="178"/>
    </row>
    <row r="141" spans="10:12" x14ac:dyDescent="0.2">
      <c r="J141" s="86">
        <v>43997</v>
      </c>
      <c r="K141" s="178"/>
      <c r="L141" s="178"/>
    </row>
    <row r="142" spans="10:12" x14ac:dyDescent="0.2">
      <c r="J142" s="86">
        <v>43998</v>
      </c>
      <c r="K142" s="178"/>
      <c r="L142" s="178"/>
    </row>
    <row r="143" spans="10:12" x14ac:dyDescent="0.2">
      <c r="J143" s="86">
        <v>43999</v>
      </c>
      <c r="K143" s="178"/>
      <c r="L143" s="178"/>
    </row>
    <row r="144" spans="10:12" x14ac:dyDescent="0.2">
      <c r="J144" s="86">
        <v>44000</v>
      </c>
      <c r="K144" s="178"/>
      <c r="L144" s="178"/>
    </row>
    <row r="145" spans="10:12" x14ac:dyDescent="0.2">
      <c r="J145" s="86">
        <v>44001</v>
      </c>
      <c r="K145" s="178"/>
      <c r="L145" s="178"/>
    </row>
    <row r="146" spans="10:12" x14ac:dyDescent="0.2">
      <c r="J146" s="86">
        <v>44002</v>
      </c>
      <c r="K146" s="178"/>
      <c r="L146" s="178"/>
    </row>
    <row r="147" spans="10:12" x14ac:dyDescent="0.2">
      <c r="J147" s="86">
        <v>44003</v>
      </c>
      <c r="K147" s="178"/>
      <c r="L147" s="178"/>
    </row>
    <row r="148" spans="10:12" x14ac:dyDescent="0.2">
      <c r="J148" s="86">
        <v>44004</v>
      </c>
      <c r="K148" s="178"/>
      <c r="L148" s="178"/>
    </row>
    <row r="149" spans="10:12" x14ac:dyDescent="0.2">
      <c r="J149" s="86">
        <v>44005</v>
      </c>
      <c r="K149" s="178"/>
      <c r="L149" s="178"/>
    </row>
    <row r="150" spans="10:12" x14ac:dyDescent="0.2">
      <c r="J150" s="86">
        <v>44006</v>
      </c>
      <c r="K150" s="178"/>
      <c r="L150" s="178"/>
    </row>
    <row r="151" spans="10:12" x14ac:dyDescent="0.2">
      <c r="J151" s="86">
        <v>44007</v>
      </c>
      <c r="K151" s="178"/>
      <c r="L151" s="178"/>
    </row>
    <row r="152" spans="10:12" x14ac:dyDescent="0.2">
      <c r="J152" s="86">
        <v>44008</v>
      </c>
      <c r="K152" s="178"/>
      <c r="L152" s="178"/>
    </row>
    <row r="153" spans="10:12" x14ac:dyDescent="0.2">
      <c r="J153" s="86">
        <v>44009</v>
      </c>
      <c r="K153" s="178"/>
      <c r="L153" s="178"/>
    </row>
    <row r="154" spans="10:12" x14ac:dyDescent="0.2">
      <c r="J154" s="86">
        <v>44010</v>
      </c>
      <c r="K154" s="178"/>
      <c r="L154" s="178"/>
    </row>
    <row r="155" spans="10:12" x14ac:dyDescent="0.2">
      <c r="J155" s="86">
        <v>44011</v>
      </c>
      <c r="K155" s="178"/>
      <c r="L155" s="178"/>
    </row>
    <row r="156" spans="10:12" x14ac:dyDescent="0.2">
      <c r="J156" s="86">
        <v>44012</v>
      </c>
      <c r="K156" s="178"/>
      <c r="L156" s="178"/>
    </row>
    <row r="157" spans="10:12" x14ac:dyDescent="0.2">
      <c r="J157" s="86">
        <v>44013</v>
      </c>
      <c r="K157" s="178"/>
      <c r="L157" s="178"/>
    </row>
    <row r="158" spans="10:12" x14ac:dyDescent="0.2">
      <c r="J158" s="86">
        <v>44014</v>
      </c>
      <c r="K158" s="178"/>
      <c r="L158" s="178"/>
    </row>
    <row r="159" spans="10:12" x14ac:dyDescent="0.2">
      <c r="J159" s="86">
        <v>44015</v>
      </c>
      <c r="K159" s="178"/>
      <c r="L159" s="178"/>
    </row>
    <row r="160" spans="10:12" x14ac:dyDescent="0.2">
      <c r="J160" s="86">
        <v>44016</v>
      </c>
      <c r="K160" s="178"/>
      <c r="L160" s="178"/>
    </row>
    <row r="161" spans="10:12" x14ac:dyDescent="0.2">
      <c r="J161" s="86">
        <v>44017</v>
      </c>
      <c r="K161" s="178"/>
      <c r="L161" s="178"/>
    </row>
    <row r="162" spans="10:12" x14ac:dyDescent="0.2">
      <c r="J162" s="86">
        <v>44018</v>
      </c>
      <c r="K162" s="178"/>
      <c r="L162" s="178"/>
    </row>
    <row r="163" spans="10:12" x14ac:dyDescent="0.2">
      <c r="J163" s="86">
        <v>44019</v>
      </c>
      <c r="K163" s="178"/>
      <c r="L163" s="178"/>
    </row>
    <row r="164" spans="10:12" x14ac:dyDescent="0.2">
      <c r="J164" s="86">
        <v>44020</v>
      </c>
      <c r="K164" s="178"/>
      <c r="L164" s="178"/>
    </row>
    <row r="165" spans="10:12" x14ac:dyDescent="0.2">
      <c r="J165" s="86">
        <v>44021</v>
      </c>
      <c r="K165" s="178"/>
      <c r="L165" s="178"/>
    </row>
    <row r="166" spans="10:12" x14ac:dyDescent="0.2">
      <c r="J166" s="86">
        <v>44022</v>
      </c>
      <c r="K166" s="178"/>
      <c r="L166" s="178"/>
    </row>
    <row r="167" spans="10:12" x14ac:dyDescent="0.2">
      <c r="J167" s="86">
        <v>44023</v>
      </c>
      <c r="K167" s="178"/>
      <c r="L167" s="178"/>
    </row>
    <row r="168" spans="10:12" x14ac:dyDescent="0.2">
      <c r="J168" s="86">
        <v>44024</v>
      </c>
      <c r="K168" s="178"/>
      <c r="L168" s="178"/>
    </row>
    <row r="169" spans="10:12" x14ac:dyDescent="0.2">
      <c r="J169" s="86">
        <v>44025</v>
      </c>
      <c r="K169" s="178"/>
      <c r="L169" s="178"/>
    </row>
    <row r="170" spans="10:12" x14ac:dyDescent="0.2">
      <c r="J170" s="86">
        <v>44026</v>
      </c>
      <c r="K170" s="178"/>
      <c r="L170" s="178"/>
    </row>
    <row r="171" spans="10:12" x14ac:dyDescent="0.2">
      <c r="J171" s="86">
        <v>44027</v>
      </c>
      <c r="K171" s="178"/>
      <c r="L171" s="178"/>
    </row>
    <row r="172" spans="10:12" x14ac:dyDescent="0.2">
      <c r="J172" s="86">
        <v>44028</v>
      </c>
      <c r="K172" s="178"/>
      <c r="L172" s="178"/>
    </row>
    <row r="173" spans="10:12" x14ac:dyDescent="0.2">
      <c r="J173" s="86">
        <v>44029</v>
      </c>
      <c r="K173" s="178"/>
      <c r="L173" s="178"/>
    </row>
    <row r="174" spans="10:12" x14ac:dyDescent="0.2">
      <c r="J174" s="86">
        <v>44030</v>
      </c>
      <c r="K174" s="178"/>
      <c r="L174" s="178"/>
    </row>
    <row r="175" spans="10:12" x14ac:dyDescent="0.2">
      <c r="J175" s="86">
        <v>44031</v>
      </c>
      <c r="K175" s="178"/>
      <c r="L175" s="178"/>
    </row>
    <row r="176" spans="10:12" x14ac:dyDescent="0.2">
      <c r="J176" s="86">
        <v>44032</v>
      </c>
      <c r="K176" s="178"/>
      <c r="L176" s="178"/>
    </row>
    <row r="177" spans="10:12" x14ac:dyDescent="0.2">
      <c r="J177" s="86">
        <v>44033</v>
      </c>
      <c r="K177" s="178"/>
      <c r="L177" s="178"/>
    </row>
    <row r="178" spans="10:12" x14ac:dyDescent="0.2">
      <c r="J178" s="86">
        <v>44034</v>
      </c>
      <c r="K178" s="178"/>
      <c r="L178" s="178"/>
    </row>
    <row r="179" spans="10:12" x14ac:dyDescent="0.2">
      <c r="J179" s="86">
        <v>44035</v>
      </c>
      <c r="K179" s="178"/>
      <c r="L179" s="178"/>
    </row>
    <row r="180" spans="10:12" x14ac:dyDescent="0.2">
      <c r="J180" s="86">
        <v>44036</v>
      </c>
      <c r="K180" s="178"/>
      <c r="L180" s="178"/>
    </row>
    <row r="181" spans="10:12" x14ac:dyDescent="0.2">
      <c r="J181" s="86">
        <v>44037</v>
      </c>
      <c r="K181" s="178"/>
      <c r="L181" s="178"/>
    </row>
    <row r="182" spans="10:12" x14ac:dyDescent="0.2">
      <c r="J182" s="86">
        <v>44038</v>
      </c>
      <c r="K182" s="178"/>
      <c r="L182" s="178"/>
    </row>
    <row r="183" spans="10:12" x14ac:dyDescent="0.2">
      <c r="J183" s="86">
        <v>44039</v>
      </c>
      <c r="K183" s="178"/>
      <c r="L183" s="178"/>
    </row>
    <row r="184" spans="10:12" x14ac:dyDescent="0.2">
      <c r="J184" s="86">
        <v>44040</v>
      </c>
      <c r="K184" s="178"/>
      <c r="L184" s="178"/>
    </row>
    <row r="185" spans="10:12" x14ac:dyDescent="0.2">
      <c r="J185" s="86">
        <v>44041</v>
      </c>
      <c r="K185" s="178"/>
      <c r="L185" s="178"/>
    </row>
    <row r="186" spans="10:12" x14ac:dyDescent="0.2">
      <c r="J186" s="86">
        <v>44042</v>
      </c>
      <c r="K186" s="178"/>
      <c r="L186" s="178"/>
    </row>
    <row r="187" spans="10:12" x14ac:dyDescent="0.2">
      <c r="J187" s="86">
        <v>44043</v>
      </c>
      <c r="K187" s="178"/>
      <c r="L187" s="178"/>
    </row>
    <row r="188" spans="10:12" x14ac:dyDescent="0.2">
      <c r="J188" s="86">
        <v>44044</v>
      </c>
      <c r="K188" s="178"/>
      <c r="L188" s="178"/>
    </row>
    <row r="189" spans="10:12" x14ac:dyDescent="0.2">
      <c r="J189" s="86">
        <v>44045</v>
      </c>
      <c r="K189" s="178"/>
      <c r="L189" s="178"/>
    </row>
    <row r="190" spans="10:12" x14ac:dyDescent="0.2">
      <c r="J190" s="86">
        <v>44046</v>
      </c>
      <c r="K190" s="178"/>
      <c r="L190" s="178"/>
    </row>
    <row r="191" spans="10:12" x14ac:dyDescent="0.2">
      <c r="J191" s="86">
        <v>44047</v>
      </c>
      <c r="K191" s="178"/>
      <c r="L191" s="178"/>
    </row>
    <row r="192" spans="10:12" x14ac:dyDescent="0.2">
      <c r="J192" s="86">
        <v>44048</v>
      </c>
      <c r="K192" s="178"/>
      <c r="L192" s="178"/>
    </row>
    <row r="193" spans="10:12" x14ac:dyDescent="0.2">
      <c r="J193" s="86">
        <v>44049</v>
      </c>
      <c r="K193" s="178"/>
      <c r="L193" s="178"/>
    </row>
    <row r="194" spans="10:12" x14ac:dyDescent="0.2">
      <c r="J194" s="86">
        <v>44050</v>
      </c>
      <c r="K194" s="178"/>
      <c r="L194" s="178"/>
    </row>
    <row r="195" spans="10:12" x14ac:dyDescent="0.2">
      <c r="J195" s="86">
        <v>44051</v>
      </c>
      <c r="K195" s="178"/>
      <c r="L195" s="178"/>
    </row>
    <row r="196" spans="10:12" x14ac:dyDescent="0.2">
      <c r="J196" s="86">
        <v>44052</v>
      </c>
      <c r="K196" s="178"/>
      <c r="L196" s="178"/>
    </row>
    <row r="197" spans="10:12" x14ac:dyDescent="0.2">
      <c r="J197" s="86">
        <v>44053</v>
      </c>
      <c r="K197" s="178"/>
      <c r="L197" s="178"/>
    </row>
    <row r="198" spans="10:12" x14ac:dyDescent="0.2">
      <c r="J198" s="86">
        <v>44054</v>
      </c>
      <c r="K198" s="178"/>
      <c r="L198" s="178"/>
    </row>
    <row r="199" spans="10:12" x14ac:dyDescent="0.2">
      <c r="J199" s="86">
        <v>44055</v>
      </c>
      <c r="K199" s="178"/>
      <c r="L199" s="178"/>
    </row>
    <row r="200" spans="10:12" x14ac:dyDescent="0.2">
      <c r="J200" s="86">
        <v>44056</v>
      </c>
      <c r="K200" s="178"/>
      <c r="L200" s="178"/>
    </row>
    <row r="201" spans="10:12" x14ac:dyDescent="0.2">
      <c r="J201" s="86">
        <v>44057</v>
      </c>
      <c r="K201" s="178"/>
      <c r="L201" s="178"/>
    </row>
    <row r="202" spans="10:12" x14ac:dyDescent="0.2">
      <c r="J202" s="86">
        <v>44058</v>
      </c>
      <c r="K202" s="178"/>
      <c r="L202" s="178"/>
    </row>
    <row r="203" spans="10:12" x14ac:dyDescent="0.2">
      <c r="J203" s="86">
        <v>44059</v>
      </c>
      <c r="K203" s="178"/>
      <c r="L203" s="178"/>
    </row>
    <row r="204" spans="10:12" x14ac:dyDescent="0.2">
      <c r="J204" s="86">
        <v>44060</v>
      </c>
      <c r="K204" s="178"/>
      <c r="L204" s="178"/>
    </row>
    <row r="205" spans="10:12" x14ac:dyDescent="0.2">
      <c r="J205" s="86">
        <v>44061</v>
      </c>
      <c r="K205" s="178"/>
      <c r="L205" s="178"/>
    </row>
    <row r="206" spans="10:12" x14ac:dyDescent="0.2">
      <c r="J206" s="86">
        <v>44062</v>
      </c>
      <c r="K206" s="178"/>
      <c r="L206" s="178"/>
    </row>
    <row r="207" spans="10:12" x14ac:dyDescent="0.2">
      <c r="J207" s="86">
        <v>44063</v>
      </c>
      <c r="K207" s="178"/>
      <c r="L207" s="178"/>
    </row>
    <row r="208" spans="10:12" x14ac:dyDescent="0.2">
      <c r="J208" s="86">
        <v>44064</v>
      </c>
      <c r="K208" s="178"/>
      <c r="L208" s="178"/>
    </row>
    <row r="209" spans="10:12" x14ac:dyDescent="0.2">
      <c r="J209" s="86">
        <v>44065</v>
      </c>
      <c r="K209" s="178"/>
      <c r="L209" s="178"/>
    </row>
    <row r="210" spans="10:12" x14ac:dyDescent="0.2">
      <c r="J210" s="86">
        <v>44066</v>
      </c>
      <c r="K210" s="178"/>
      <c r="L210" s="178"/>
    </row>
    <row r="211" spans="10:12" x14ac:dyDescent="0.2">
      <c r="J211" s="86">
        <v>44067</v>
      </c>
      <c r="K211" s="178"/>
      <c r="L211" s="178"/>
    </row>
    <row r="212" spans="10:12" x14ac:dyDescent="0.2">
      <c r="J212" s="86">
        <v>44068</v>
      </c>
      <c r="K212" s="178"/>
      <c r="L212" s="178"/>
    </row>
    <row r="213" spans="10:12" x14ac:dyDescent="0.2">
      <c r="J213" s="86">
        <v>44069</v>
      </c>
      <c r="K213" s="178"/>
      <c r="L213" s="178"/>
    </row>
    <row r="214" spans="10:12" x14ac:dyDescent="0.2">
      <c r="J214" s="86">
        <v>44070</v>
      </c>
      <c r="K214" s="178"/>
      <c r="L214" s="178"/>
    </row>
    <row r="215" spans="10:12" x14ac:dyDescent="0.2">
      <c r="J215" s="86">
        <v>44071</v>
      </c>
      <c r="K215" s="178"/>
      <c r="L215" s="178"/>
    </row>
    <row r="216" spans="10:12" x14ac:dyDescent="0.2">
      <c r="J216" s="86">
        <v>44072</v>
      </c>
      <c r="K216" s="178"/>
      <c r="L216" s="178"/>
    </row>
    <row r="217" spans="10:12" x14ac:dyDescent="0.2">
      <c r="J217" s="86">
        <v>44073</v>
      </c>
      <c r="K217" s="178"/>
      <c r="L217" s="178"/>
    </row>
    <row r="218" spans="10:12" x14ac:dyDescent="0.2">
      <c r="J218" s="86">
        <v>44074</v>
      </c>
      <c r="K218" s="178"/>
      <c r="L218" s="178"/>
    </row>
  </sheetData>
  <mergeCells count="2">
    <mergeCell ref="H1:H3"/>
    <mergeCell ref="D1:D3"/>
  </mergeCells>
  <conditionalFormatting sqref="D1">
    <cfRule type="expression" dxfId="10" priority="21">
      <formula>($B$1="Schweiz")</formula>
    </cfRule>
  </conditionalFormatting>
  <conditionalFormatting sqref="L108:L110">
    <cfRule type="expression" dxfId="9" priority="5">
      <formula>(J108&lt;=_Datum)</formula>
    </cfRule>
  </conditionalFormatting>
  <conditionalFormatting sqref="L93:L107">
    <cfRule type="expression" dxfId="8" priority="4">
      <formula>(J93&lt;=_Datum)</formula>
    </cfRule>
  </conditionalFormatting>
  <conditionalFormatting sqref="K2:K111">
    <cfRule type="expression" dxfId="7" priority="10">
      <formula>(I2&lt;=_Datum)</formula>
    </cfRule>
  </conditionalFormatting>
  <conditionalFormatting sqref="K2:K111">
    <cfRule type="expression" dxfId="6" priority="9">
      <formula>(I2&lt;=_Datum)</formula>
    </cfRule>
  </conditionalFormatting>
  <conditionalFormatting sqref="K76:K77">
    <cfRule type="expression" dxfId="5" priority="8">
      <formula>(I76&lt;=_Datum)</formula>
    </cfRule>
  </conditionalFormatting>
  <conditionalFormatting sqref="K3">
    <cfRule type="expression" dxfId="4" priority="7">
      <formula>(I3&lt;=_Datum)</formula>
    </cfRule>
  </conditionalFormatting>
  <conditionalFormatting sqref="L108:L110">
    <cfRule type="expression" dxfId="3" priority="6">
      <formula>(J108&lt;=_Datum)</formula>
    </cfRule>
  </conditionalFormatting>
  <conditionalFormatting sqref="L90">
    <cfRule type="expression" dxfId="2" priority="3">
      <formula>(K90&lt;=_Datum)</formula>
    </cfRule>
  </conditionalFormatting>
  <conditionalFormatting sqref="L78:L89">
    <cfRule type="expression" dxfId="1" priority="2">
      <formula>(K78&lt;=_Datum)</formula>
    </cfRule>
  </conditionalFormatting>
  <conditionalFormatting sqref="L76:L77">
    <cfRule type="expression" dxfId="0" priority="1">
      <formula>(K76&lt;=_Datum)</formula>
    </cfRule>
  </conditionalFormatting>
  <dataValidations count="1">
    <dataValidation type="list" allowBlank="1" showInputMessage="1" showErrorMessage="1" sqref="B1" xr:uid="{00000000-0002-0000-0700-000000000000}">
      <formula1>$G$7:$H$7</formula1>
    </dataValidation>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21</vt:i4>
      </vt:variant>
    </vt:vector>
  </HeadingPairs>
  <TitlesOfParts>
    <vt:vector size="29" baseType="lpstr">
      <vt:lpstr>Beschreibung &amp; Aktualisierung</vt:lpstr>
      <vt:lpstr>Erkrankungs- und Strukturdaten</vt:lpstr>
      <vt:lpstr>Prognoseparameter</vt:lpstr>
      <vt:lpstr>Fallzahlen (Berechnung)</vt:lpstr>
      <vt:lpstr>Prognoseergebnis</vt:lpstr>
      <vt:lpstr>Grafische Darstellung</vt:lpstr>
      <vt:lpstr>Information zu den Updates</vt:lpstr>
      <vt:lpstr>Stammdaten</vt:lpstr>
      <vt:lpstr>_Ausgangswert</vt:lpstr>
      <vt:lpstr>_AusgangswertKURZ</vt:lpstr>
      <vt:lpstr>_Bundesweit</vt:lpstr>
      <vt:lpstr>_bundesweite</vt:lpstr>
      <vt:lpstr>_bundesweiten</vt:lpstr>
      <vt:lpstr>_Datum</vt:lpstr>
      <vt:lpstr>_DynWR</vt:lpstr>
      <vt:lpstr>_Krankenhaus</vt:lpstr>
      <vt:lpstr>_Krankenhäuser</vt:lpstr>
      <vt:lpstr>_Krankenhäusern</vt:lpstr>
      <vt:lpstr>_Methodik</vt:lpstr>
      <vt:lpstr>_StabWR</vt:lpstr>
      <vt:lpstr>_Wachstumsrate</vt:lpstr>
      <vt:lpstr>_WachstumsrateKURZ</vt:lpstr>
      <vt:lpstr>_WR</vt:lpstr>
      <vt:lpstr>'Beschreibung &amp; Aktualisierung'!Druckbereich</vt:lpstr>
      <vt:lpstr>'Erkrankungs- und Strukturdaten'!Druckbereich</vt:lpstr>
      <vt:lpstr>'Grafische Darstellung'!Druckbereich</vt:lpstr>
      <vt:lpstr>'Information zu den Updates'!Druckbereich</vt:lpstr>
      <vt:lpstr>Prognoseergebnis!Druckbereich</vt:lpstr>
      <vt:lpstr>Prognoseparameter!Druckbereich</vt:lpstr>
    </vt:vector>
  </TitlesOfParts>
  <Company>ZeQ</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Lasse Wissmann</dc:creator>
  <cp:lastModifiedBy>Lisa Kramer</cp:lastModifiedBy>
  <cp:lastPrinted>2021-04-14T14:31:11Z</cp:lastPrinted>
  <dcterms:created xsi:type="dcterms:W3CDTF">2008-10-17T13:50:24Z</dcterms:created>
  <dcterms:modified xsi:type="dcterms:W3CDTF">2021-05-27T12:53:26Z</dcterms:modified>
</cp:coreProperties>
</file>